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95" tabRatio="881" firstSheet="11" activeTab="13"/>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6" sheetId="13" r:id="rId13"/>
    <sheet name="07" sheetId="14" r:id="rId14"/>
    <sheet name="Sheet1" sheetId="15" r:id="rId15"/>
  </sheets>
  <externalReferences>
    <externalReference r:id="rId18"/>
    <externalReference r:id="rId19"/>
    <externalReference r:id="rId20"/>
    <externalReference r:id="rId21"/>
    <externalReference r:id="rId22"/>
    <externalReference r:id="rId23"/>
    <externalReference r:id="rId24"/>
    <externalReference r:id="rId25"/>
  </externalReferences>
  <definedNames>
    <definedName name="_xlfn.COUNTIFS" hidden="1">#NAME?</definedName>
    <definedName name="_xlfn.SUMIFS" hidden="1">#NAME?</definedName>
    <definedName name="Nguyennhan">'[1]Nguyen_nhan'!$B$3:$B$16</definedName>
    <definedName name="_xlnm.Print_Area" localSheetId="12">'06'!$A$1:$S$130</definedName>
    <definedName name="_xlnm.Print_Area" localSheetId="13">'07'!$A$1:$T$130</definedName>
    <definedName name="_xlnm.Print_Area" localSheetId="1">'Mãu BC mien giam 8'!$A$1:$N$36</definedName>
    <definedName name="_xlnm.Print_Titles" localSheetId="12">'06'!$6:$10</definedName>
    <definedName name="_xlnm.Print_Titles" localSheetId="13">'07'!$6:$10</definedName>
    <definedName name="_xlnm.Print_Titles" localSheetId="10">'bieu lay so lieu bc viet'!$6:$11</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<sst xmlns="http://schemas.openxmlformats.org/spreadsheetml/2006/main" count="1313" uniqueCount="626">
  <si>
    <t>I</t>
  </si>
  <si>
    <t>II</t>
  </si>
  <si>
    <t xml:space="preserve">Tổng số
</t>
  </si>
  <si>
    <t>Số việc</t>
  </si>
  <si>
    <t>NGƯỜI LẬP BIỂU</t>
  </si>
  <si>
    <t xml:space="preserve">A
</t>
  </si>
  <si>
    <t>A</t>
  </si>
  <si>
    <t>Chia ra:</t>
  </si>
  <si>
    <t>Đơn vị tính: Việc</t>
  </si>
  <si>
    <t>Số tiền</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</si>
  <si>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</si>
  <si>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</si>
  <si>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</si>
  <si>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</si>
  <si>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</si>
  <si>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</si>
  <si>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</si>
  <si>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</si>
  <si>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</si>
  <si>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</si>
  <si>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</si>
  <si>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</si>
  <si>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</si>
  <si>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</si>
  <si>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</si>
  <si>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</si>
  <si>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</si>
  <si>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</si>
  <si>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</si>
  <si>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Biểu số: 08/TK-THA</t>
  </si>
  <si>
    <t>Tổng số</t>
  </si>
  <si>
    <t>Tổng số</t>
  </si>
  <si>
    <t>Tổng
 số</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</si>
  <si>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</si>
  <si>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</si>
  <si>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</si>
  <si>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</si>
  <si>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</si>
  <si>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</si>
  <si>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</si>
  <si>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</si>
  <si>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</si>
  <si>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xml:space="preserve">Tổng số
</t>
  </si>
  <si>
    <t>1</t>
  </si>
  <si>
    <t>2</t>
  </si>
  <si>
    <t>1.1</t>
  </si>
  <si>
    <t>1.2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</si>
  <si>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</si>
  <si>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</si>
  <si>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</si>
  <si>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</si>
  <si>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</si>
  <si>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</si>
  <si>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</si>
  <si>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</si>
  <si>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</si>
  <si>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</si>
  <si>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</si>
  <si>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</si>
  <si>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</si>
  <si>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</si>
  <si>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</si>
  <si>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 xml:space="preserve">Số tiền trong các bản án, quyết định có căn cứ giám đốc thẩm, tái  thẩm          </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</si>
  <si>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</si>
  <si>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</si>
  <si>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</si>
  <si>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</si>
  <si>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</si>
  <si>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</si>
  <si>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</si>
  <si>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</si>
  <si>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</si>
  <si>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</si>
  <si>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</si>
  <si>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</si>
  <si>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</si>
  <si>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</si>
  <si>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</si>
  <si>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</si>
  <si>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</si>
  <si>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</si>
  <si>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</si>
  <si>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</si>
  <si>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</si>
  <si>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</si>
  <si>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</si>
  <si>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</si>
  <si>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</si>
  <si>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</si>
  <si>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</si>
  <si>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</si>
  <si>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</si>
  <si>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</si>
  <si>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</si>
  <si>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</si>
  <si>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</si>
  <si>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</si>
  <si>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</si>
  <si>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Năm trước chuyển sang</t>
  </si>
  <si>
    <t>Ủy thác thi hành án</t>
  </si>
  <si>
    <t>Tổng số phải thi hành</t>
  </si>
  <si>
    <t>Có điều kiện thi hành</t>
  </si>
  <si>
    <t>1.3</t>
  </si>
  <si>
    <t>Đang thi hành</t>
  </si>
  <si>
    <t>1.4</t>
  </si>
  <si>
    <t>1.5</t>
  </si>
  <si>
    <t>Tạm đình chỉ thi hành án</t>
  </si>
  <si>
    <t>1.6</t>
  </si>
  <si>
    <t>1.7</t>
  </si>
  <si>
    <t>Trường hợp khác</t>
  </si>
  <si>
    <t>Chưa có điều kiện thi hành</t>
  </si>
  <si>
    <t>4.1</t>
  </si>
  <si>
    <t>5.1</t>
  </si>
  <si>
    <t>5.2</t>
  </si>
  <si>
    <t>5.3</t>
  </si>
  <si>
    <t>1.8</t>
  </si>
  <si>
    <t>Giảm thi hành án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</si>
  <si>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</si>
  <si>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</si>
  <si>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</si>
  <si>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</si>
  <si>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</si>
  <si>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</si>
  <si>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</si>
  <si>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</si>
  <si>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</si>
  <si>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</si>
  <si>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</si>
  <si>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</si>
  <si>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</si>
  <si>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</si>
  <si>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</si>
  <si>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</si>
  <si>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</si>
  <si>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</si>
  <si>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</si>
  <si>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</si>
  <si>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</si>
  <si>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</si>
  <si>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</si>
  <si>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</si>
  <si>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</si>
  <si>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</si>
  <si>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</si>
  <si>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</si>
  <si>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</si>
  <si>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</si>
  <si>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</si>
  <si>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</si>
  <si>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</si>
  <si>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</si>
  <si>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</si>
  <si>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</si>
  <si>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</si>
  <si>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</si>
  <si>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</si>
  <si>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</si>
  <si>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</si>
  <si>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</si>
  <si>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</si>
  <si>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</si>
  <si>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</si>
  <si>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</si>
  <si>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</si>
  <si>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</si>
  <si>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</si>
  <si>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</si>
  <si>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</si>
  <si>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</si>
  <si>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</si>
  <si>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</si>
  <si>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</si>
  <si>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</si>
  <si>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</si>
  <si>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</si>
  <si>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</si>
  <si>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</si>
  <si>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</si>
  <si>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</si>
  <si>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</si>
  <si>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</si>
  <si>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</si>
  <si>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</si>
  <si>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</si>
  <si>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</si>
  <si>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</si>
  <si>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</si>
  <si>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</si>
  <si>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</si>
  <si>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</si>
  <si>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</si>
  <si>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</si>
  <si>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</si>
  <si>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</si>
  <si>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</si>
  <si>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</si>
  <si>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</si>
  <si>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</si>
  <si>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</si>
  <si>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</si>
  <si>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</si>
  <si>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</si>
  <si>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</si>
  <si>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</si>
  <si>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</si>
  <si>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</si>
  <si>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</si>
  <si>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</si>
  <si>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</si>
  <si>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</si>
  <si>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</si>
  <si>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</si>
  <si>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</si>
  <si>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</si>
  <si>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</si>
  <si>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</si>
  <si>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</si>
  <si>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</si>
  <si>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</si>
  <si>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</si>
  <si>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</si>
  <si>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</si>
  <si>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</si>
  <si>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</si>
  <si>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</si>
  <si>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</si>
  <si>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</si>
  <si>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</si>
  <si>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</si>
  <si>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</si>
  <si>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</si>
  <si>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</si>
  <si>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</si>
  <si>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</si>
  <si>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</si>
  <si>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</si>
  <si>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</si>
  <si>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 xml:space="preserve">                                   Đơn vị tính: Việc</t>
  </si>
  <si>
    <t>Ban hành theo TT số: 08/2015/TT-BTP</t>
  </si>
  <si>
    <t>ngày 26 tháng 6 năm 2015</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</si>
  <si>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</si>
  <si>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</si>
  <si>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</si>
  <si>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</si>
  <si>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</si>
  <si>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</si>
  <si>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</si>
  <si>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</si>
  <si>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</si>
  <si>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</si>
  <si>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</si>
  <si>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</si>
  <si>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</si>
  <si>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</si>
  <si>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</si>
  <si>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</si>
  <si>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</si>
  <si>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</si>
  <si>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</si>
  <si>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</si>
  <si>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</si>
  <si>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</si>
  <si>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</si>
  <si>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</si>
  <si>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</si>
  <si>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</si>
  <si>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</si>
  <si>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</si>
  <si>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</si>
  <si>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</si>
  <si>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</si>
  <si>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</si>
  <si>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</si>
  <si>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</si>
  <si>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</si>
  <si>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</si>
  <si>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</si>
  <si>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</si>
  <si>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</si>
  <si>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</si>
  <si>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</si>
  <si>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</si>
  <si>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</si>
  <si>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</si>
  <si>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</si>
  <si>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</si>
  <si>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</si>
  <si>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</si>
  <si>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</si>
  <si>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</si>
  <si>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</si>
  <si>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</si>
  <si>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</si>
  <si>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</si>
  <si>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</si>
  <si>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</si>
  <si>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</si>
  <si>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</si>
  <si>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</si>
  <si>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</si>
  <si>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</si>
  <si>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</si>
  <si>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</si>
  <si>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</si>
  <si>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</si>
  <si>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</si>
  <si>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</si>
  <si>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</si>
  <si>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</si>
  <si>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</si>
  <si>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</si>
  <si>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</si>
  <si>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</si>
  <si>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</si>
  <si>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</si>
  <si>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</si>
  <si>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</si>
  <si>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</si>
  <si>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</si>
  <si>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</si>
  <si>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</si>
  <si>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</si>
  <si>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</si>
  <si>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</si>
  <si>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</si>
  <si>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</si>
  <si>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</si>
  <si>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</si>
  <si>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</si>
  <si>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</si>
  <si>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</si>
  <si>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</si>
  <si>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</si>
  <si>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</si>
  <si>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</si>
  <si>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</si>
  <si>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</si>
  <si>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</si>
  <si>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</si>
  <si>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</si>
  <si>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</si>
  <si>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</si>
  <si>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</si>
  <si>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</si>
  <si>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</si>
  <si>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</si>
  <si>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</si>
  <si>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</si>
  <si>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</si>
  <si>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</si>
  <si>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</si>
  <si>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</si>
  <si>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</si>
  <si>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</si>
  <si>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</si>
  <si>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</si>
  <si>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</si>
  <si>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</si>
  <si>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</si>
  <si>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</si>
  <si>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</si>
  <si>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</si>
  <si>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</si>
  <si>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</si>
  <si>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</si>
  <si>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</si>
  <si>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</si>
  <si>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</si>
  <si>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</si>
  <si>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</si>
  <si>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</si>
  <si>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</si>
  <si>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</si>
  <si>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</si>
  <si>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</si>
  <si>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</si>
  <si>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</si>
  <si>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</si>
  <si>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</si>
  <si>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</si>
  <si>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</si>
  <si>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</si>
  <si>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</si>
  <si>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</si>
  <si>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</si>
  <si>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</si>
  <si>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</si>
  <si>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</si>
  <si>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</si>
  <si>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</si>
  <si>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</si>
  <si>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</si>
  <si>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</si>
  <si>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</si>
  <si>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</si>
  <si>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</si>
  <si>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</si>
  <si>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</si>
  <si>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</si>
  <si>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</si>
  <si>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</si>
  <si>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</si>
  <si>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</si>
  <si>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</si>
  <si>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</si>
  <si>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</si>
  <si>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</si>
  <si>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</si>
  <si>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</si>
  <si>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</si>
  <si>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</si>
  <si>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</si>
  <si>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</si>
  <si>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</si>
  <si>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</si>
  <si>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</si>
  <si>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</si>
  <si>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</si>
  <si>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</si>
  <si>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Tên đơn vị báo cáo:</t>
  </si>
  <si>
    <t>Báo cáo tháng</t>
  </si>
  <si>
    <t>Người lập biểu</t>
  </si>
  <si>
    <t>Người ký báo cáo</t>
  </si>
  <si>
    <t>Chức danh người ký báo cáo</t>
  </si>
  <si>
    <t>Ngày ký báo cáo</t>
  </si>
  <si>
    <t>1.9</t>
  </si>
  <si>
    <t xml:space="preserve">Đơn vị  báo cáo: </t>
  </si>
  <si>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</si>
  <si>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</si>
  <si>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</si>
  <si>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</si>
  <si>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</si>
  <si>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</si>
  <si>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</si>
  <si>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Nguyễn Thị Mai Hoa</t>
  </si>
  <si>
    <t>Trần Hồng Quang</t>
  </si>
  <si>
    <t>Phạm Tiến Binh</t>
  </si>
  <si>
    <t xml:space="preserve"> Bùi Văn Dũng</t>
  </si>
  <si>
    <t xml:space="preserve"> Quản Văn Đức </t>
  </si>
  <si>
    <t xml:space="preserve"> Lê Thị Liên</t>
  </si>
  <si>
    <t xml:space="preserve"> Phùng Trọng Nghĩa</t>
  </si>
  <si>
    <t>1.10</t>
  </si>
  <si>
    <t xml:space="preserve"> Bùi Quang Minh</t>
  </si>
  <si>
    <t>1.11</t>
  </si>
  <si>
    <t>Ngô Văn Hòa</t>
  </si>
  <si>
    <t>1.12</t>
  </si>
  <si>
    <t>1.13</t>
  </si>
  <si>
    <t>1.14</t>
  </si>
  <si>
    <t>Đinh Đức Quang</t>
  </si>
  <si>
    <t>1.15</t>
  </si>
  <si>
    <t xml:space="preserve"> Nguyễn Thị Mai Anh</t>
  </si>
  <si>
    <t>1.16</t>
  </si>
  <si>
    <t>Phan Thị Nhuyến</t>
  </si>
  <si>
    <t>1.17</t>
  </si>
  <si>
    <t>Lê Thị Minh Thúy</t>
  </si>
  <si>
    <t>Các Chi  cục THADS</t>
  </si>
  <si>
    <t xml:space="preserve"> H.An Dương</t>
  </si>
  <si>
    <t>Trần Quốc Lập</t>
  </si>
  <si>
    <t xml:space="preserve"> H.An Lão</t>
  </si>
  <si>
    <t xml:space="preserve"> Phạm Văn Hùng</t>
  </si>
  <si>
    <t>Vũ Văn Biên</t>
  </si>
  <si>
    <t xml:space="preserve"> Trịnh Duy Hưng </t>
  </si>
  <si>
    <t>Trần Mạnh Cường</t>
  </si>
  <si>
    <t>Q.Đồ Sơn</t>
  </si>
  <si>
    <t xml:space="preserve"> Mai Thị Hà</t>
  </si>
  <si>
    <t>Đàm Xuân Thủy</t>
  </si>
  <si>
    <t xml:space="preserve"> Lê Viết Thắng</t>
  </si>
  <si>
    <t xml:space="preserve"> H.Bạch Long Vĩ</t>
  </si>
  <si>
    <t>Trần Tăng Vấn</t>
  </si>
  <si>
    <t xml:space="preserve"> Q.Lê Chân</t>
  </si>
  <si>
    <t>Nguyễn Ngọc Hoàn</t>
  </si>
  <si>
    <t>Lương Duy Hiếu</t>
  </si>
  <si>
    <t>Đỗ Văn Thịnh</t>
  </si>
  <si>
    <t>5.4</t>
  </si>
  <si>
    <t>Phạm Thị Ngân Hoài</t>
  </si>
  <si>
    <t>5.5</t>
  </si>
  <si>
    <t>Vũ Thế Khương</t>
  </si>
  <si>
    <t>5.6</t>
  </si>
  <si>
    <t>Trần Thị Hương</t>
  </si>
  <si>
    <t>5.7</t>
  </si>
  <si>
    <t>Đỗ Thị Thanh Trà</t>
  </si>
  <si>
    <t xml:space="preserve"> Q.Hải An</t>
  </si>
  <si>
    <t xml:space="preserve"> Nguyễn Văn Lai</t>
  </si>
  <si>
    <t>Ng.Thị Ph.Thảo</t>
  </si>
  <si>
    <t>Trịnh Quang Khánh</t>
  </si>
  <si>
    <t xml:space="preserve"> Hoàng Thị Vân Anh</t>
  </si>
  <si>
    <t>Q. Hồng Bàng</t>
  </si>
  <si>
    <t>Nguyễn Tùng Ngọc</t>
  </si>
  <si>
    <t>Phạm Đăng Ngọc</t>
  </si>
  <si>
    <t>Nguyễn Trần Tuấn</t>
  </si>
  <si>
    <t>Nguyễn Thị Hiền</t>
  </si>
  <si>
    <t>Trần Kim Thoa</t>
  </si>
  <si>
    <t>Nguyễn Thị Quế</t>
  </si>
  <si>
    <t xml:space="preserve"> Q.Kiến An</t>
  </si>
  <si>
    <t>8.1</t>
  </si>
  <si>
    <t xml:space="preserve"> Phạm Văn Nhất</t>
  </si>
  <si>
    <t>8.2</t>
  </si>
  <si>
    <t xml:space="preserve"> Bùi Thị Mai</t>
  </si>
  <si>
    <t xml:space="preserve"> H.Kiến Thụy</t>
  </si>
  <si>
    <t>9.1</t>
  </si>
  <si>
    <t>9.2</t>
  </si>
  <si>
    <t>9.3</t>
  </si>
  <si>
    <t>Q.Ngô Quyền</t>
  </si>
  <si>
    <t>Nguyễn Trường Giang</t>
  </si>
  <si>
    <t>Phạm Văn Tú</t>
  </si>
  <si>
    <t>10.7</t>
  </si>
  <si>
    <t>Mai Thị Hoa</t>
  </si>
  <si>
    <t>10.8</t>
  </si>
  <si>
    <t>10.9</t>
  </si>
  <si>
    <t>Đoàn Thị Minh Châu</t>
  </si>
  <si>
    <t xml:space="preserve"> H.Cát Hải</t>
  </si>
  <si>
    <t>11.1</t>
  </si>
  <si>
    <t>Nguyễn Tiến Dược</t>
  </si>
  <si>
    <t>11.2</t>
  </si>
  <si>
    <t xml:space="preserve"> Hồ Anh Văn</t>
  </si>
  <si>
    <t>Phạm Thế Toàn</t>
  </si>
  <si>
    <t xml:space="preserve"> H.Tiên Lãng</t>
  </si>
  <si>
    <t xml:space="preserve"> Lê Văn Diên</t>
  </si>
  <si>
    <t xml:space="preserve"> H.Thủy Nguyên</t>
  </si>
  <si>
    <t xml:space="preserve"> H.Vĩnh Bảo</t>
  </si>
  <si>
    <t>14.1</t>
  </si>
  <si>
    <t>Phạm Hồng Nguyện</t>
  </si>
  <si>
    <t>14.2</t>
  </si>
  <si>
    <t>Trần Minh Đức</t>
  </si>
  <si>
    <t xml:space="preserve"> Q.Dương Kinh</t>
  </si>
  <si>
    <t>Thái Bá Sức</t>
  </si>
  <si>
    <t>Lương Văn Lịch</t>
  </si>
  <si>
    <t>Hồng Bàng</t>
  </si>
  <si>
    <t>10.1</t>
  </si>
  <si>
    <t>10.3</t>
  </si>
  <si>
    <t>10.4</t>
  </si>
  <si>
    <t>10.5</t>
  </si>
  <si>
    <t>10.6</t>
  </si>
  <si>
    <t>Đơn vị nhận báo cáo: Tổng cục</t>
  </si>
  <si>
    <r>
      <t xml:space="preserve">Đơn vị nhận báo cáo: </t>
    </r>
    <r>
      <rPr>
        <sz val="12"/>
        <rFont val="Times New Roman"/>
        <family val="1"/>
      </rPr>
      <t>Tổng cục</t>
    </r>
  </si>
  <si>
    <t>Trần Thị Minh</t>
  </si>
  <si>
    <r>
      <t xml:space="preserve">CTHADS </t>
    </r>
    <r>
      <rPr>
        <sz val="12"/>
        <color indexed="10"/>
        <rFont val="Times New Roman"/>
        <family val="1"/>
      </rPr>
      <t>Hải Phòng</t>
    </r>
  </si>
  <si>
    <t xml:space="preserve">
PHÓ CỤC TRƯỞNG</t>
  </si>
  <si>
    <t>Bùi Đức Tiến</t>
  </si>
  <si>
    <t>0</t>
  </si>
  <si>
    <t>Hoàng Tiến Dũng</t>
  </si>
  <si>
    <t>Đỗ Khắc Oanh</t>
  </si>
  <si>
    <t>Đỗ Thị Thanh Thủy</t>
  </si>
  <si>
    <t>Nguyễn Trí Thành</t>
  </si>
  <si>
    <t>Bùi Mạnh Hùng</t>
  </si>
  <si>
    <t>Nguyễn Thị Thủy</t>
  </si>
  <si>
    <t>Phạm Thị Thu Hiền</t>
  </si>
  <si>
    <t>Hoàng Vân Anh</t>
  </si>
  <si>
    <t>8.3</t>
  </si>
  <si>
    <t>Lê Thị Tuyết Thanh</t>
  </si>
  <si>
    <t>Nguyễn Thanh Hải</t>
  </si>
  <si>
    <t>Nguyễn T Diệp Anh</t>
  </si>
  <si>
    <t>Lê Văn Thụy</t>
  </si>
  <si>
    <t>Lê Viết Thắng</t>
  </si>
  <si>
    <t>13.11</t>
  </si>
  <si>
    <t>Tô Anh Dũng</t>
  </si>
  <si>
    <t>Phạm Văn Phúc</t>
  </si>
  <si>
    <t>Lương Thanh Thủy</t>
  </si>
  <si>
    <t>7.1</t>
  </si>
  <si>
    <t>7.2</t>
  </si>
  <si>
    <t>7.3</t>
  </si>
  <si>
    <t>7.4</t>
  </si>
  <si>
    <t>7.5</t>
  </si>
  <si>
    <t>7.6</t>
  </si>
  <si>
    <t>6.1</t>
  </si>
  <si>
    <t>6.2</t>
  </si>
  <si>
    <t>6.3</t>
  </si>
  <si>
    <t>6.4</t>
  </si>
  <si>
    <t>6.5</t>
  </si>
  <si>
    <t>Nguyễn Phi Hùng</t>
  </si>
  <si>
    <t>Nguyễn Văn Lai</t>
  </si>
  <si>
    <t>Nguyễn T.P Thảo</t>
  </si>
  <si>
    <t>Nguyễn Văn Thảnh</t>
  </si>
  <si>
    <t>10.2</t>
  </si>
  <si>
    <t>Lê Văn Diên</t>
  </si>
  <si>
    <t>1.18</t>
  </si>
  <si>
    <t>Kiều T. Hạnh Nguyên</t>
  </si>
  <si>
    <t>Đinh Thị Quyên</t>
  </si>
  <si>
    <t>61</t>
  </si>
  <si>
    <r>
      <rPr>
        <sz val="12"/>
        <color indexed="10"/>
        <rFont val="Times New Roman"/>
        <family val="1"/>
      </rPr>
      <t xml:space="preserve">04 </t>
    </r>
    <r>
      <rPr>
        <sz val="12"/>
        <rFont val="Times New Roman"/>
        <family val="1"/>
      </rPr>
      <t>tháng / năm 2018</t>
    </r>
  </si>
  <si>
    <t>04 tháng / năm 2018</t>
  </si>
  <si>
    <t>Hải Phòng, ngày 06 tháng 02 năm 2018</t>
  </si>
  <si>
    <r>
      <t xml:space="preserve">Hải Phòng, ngày </t>
    </r>
    <r>
      <rPr>
        <sz val="12"/>
        <color indexed="10"/>
        <rFont val="Times New Roman"/>
        <family val="1"/>
      </rPr>
      <t>06</t>
    </r>
    <r>
      <rPr>
        <sz val="12"/>
        <rFont val="Times New Roman"/>
        <family val="1"/>
      </rPr>
      <t xml:space="preserve"> tháng </t>
    </r>
    <r>
      <rPr>
        <sz val="12"/>
        <color indexed="10"/>
        <rFont val="Times New Roman"/>
        <family val="1"/>
      </rPr>
      <t>02</t>
    </r>
    <r>
      <rPr>
        <sz val="12"/>
        <rFont val="Times New Roman"/>
        <family val="1"/>
      </rPr>
      <t xml:space="preserve"> năm 2018</t>
    </r>
  </si>
  <si>
    <t>Lương Thị Tuyết</t>
  </si>
  <si>
    <t>Bùi Thị Phượng</t>
  </si>
  <si>
    <t>14.3</t>
  </si>
  <si>
    <t>14.4</t>
  </si>
  <si>
    <t>59</t>
  </si>
  <si>
    <t>35</t>
  </si>
  <si>
    <t>24</t>
  </si>
  <si>
    <t>87</t>
  </si>
  <si>
    <t>65</t>
  </si>
  <si>
    <t>57</t>
  </si>
  <si>
    <t>64</t>
  </si>
  <si>
    <t>40</t>
  </si>
  <si>
    <t>21</t>
  </si>
  <si>
    <t>43</t>
  </si>
  <si>
    <t>31</t>
  </si>
  <si>
    <t>46</t>
  </si>
  <si>
    <t>Nguyễn Thế Mạnh</t>
  </si>
  <si>
    <t>Phạm Ngọc Phong</t>
  </si>
  <si>
    <t>Bùi Văn Châu</t>
  </si>
  <si>
    <t>Tạ Văn Quảng</t>
  </si>
  <si>
    <t>Đỗ Văn Hoàng</t>
  </si>
  <si>
    <t>Nguyễn Thị Xuân Hoa</t>
  </si>
  <si>
    <t>Phùng Ngọc Huy</t>
  </si>
  <si>
    <t>Hoàng Trọng Hiếu</t>
  </si>
  <si>
    <t>Phạm Văn Cương</t>
  </si>
  <si>
    <t xml:space="preserve"> Ngô Nhật Trình</t>
  </si>
  <si>
    <t xml:space="preserve"> Nguyễn Sơn Lâm</t>
  </si>
  <si>
    <t>13.10</t>
  </si>
  <si>
    <t>13.12</t>
  </si>
  <si>
    <t>13.13</t>
  </si>
  <si>
    <t>Lê Đắc Phổ</t>
  </si>
  <si>
    <t>Mai Trung Nghĩa</t>
  </si>
  <si>
    <t>7.7</t>
  </si>
  <si>
    <t>7.8</t>
  </si>
  <si>
    <t>Phạm Văn Vơ</t>
  </si>
  <si>
    <t>Trần Đại Sỹ</t>
  </si>
  <si>
    <t>Đỗ Thị Thành</t>
  </si>
  <si>
    <t>Nguyễn Thị Hồng</t>
  </si>
  <si>
    <t xml:space="preserve"> Nguyễn Thị Hồng</t>
  </si>
  <si>
    <t>11.3</t>
  </si>
  <si>
    <t>Bùi Thị Thu Hà</t>
  </si>
  <si>
    <t>Trần Công Chu</t>
  </si>
  <si>
    <t>1.19</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</si>
</sst>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0;[Red]#,##0"/>
    <numFmt numFmtId="211" formatCode="0;[Red]0"/>
    <numFmt numFmtId="212" formatCode="###\ ###\ ###"/>
    <numFmt numFmtId="213" formatCode="0_);\(0\)"/>
    <numFmt numFmtId="214" formatCode="###\ ###\ "/>
    <numFmt numFmtId="215" formatCode="#,##0.00;[Red]#,##0.00"/>
    <numFmt numFmtId="216" formatCode="0.0000%"/>
    <numFmt numFmtId="217" formatCode="_(* #,##0_);_(* \(#,##0\);_(* &quot;&quot;??_);_(@_)"/>
  </numFmts>
  <fonts count="145">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sz val="10"/>
      <name val="Arial"/>
      <family val="2"/>
    </font>
    <font>
      <b/>
      <sz val="11"/>
      <name val="Arial"/>
      <family val="2"/>
    </font>
    <font>
      <sz val="14"/>
      <name val="Times New Roman"/>
      <family val="1"/>
    </font>
    <font>
      <sz val="10"/>
      <color indexed="10"/>
      <name val="Times New Roman"/>
      <family val="1"/>
    </font>
    <font>
      <i/>
      <sz val="8"/>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sz val="11"/>
      <color indexed="8"/>
      <name val="Calibri"/>
      <family val="2"/>
    </font>
    <font>
      <sz val="8"/>
      <color indexed="10"/>
      <name val="Times New Roman"/>
      <family val="1"/>
    </font>
    <font>
      <i/>
      <sz val="8"/>
      <color indexed="10"/>
      <name val="Times New Roman"/>
      <family val="1"/>
    </font>
    <font>
      <b/>
      <sz val="14"/>
      <color indexed="10"/>
      <name val="Times New Roman"/>
      <family val="1"/>
    </font>
    <font>
      <sz val="13"/>
      <color indexed="10"/>
      <name val="Times New Roman"/>
      <family val="1"/>
    </font>
    <font>
      <sz val="11"/>
      <color indexed="8"/>
      <name val="Times New Roman"/>
      <family val="1"/>
    </font>
    <font>
      <sz val="8"/>
      <name val="Arial Narrow"/>
      <family val="2"/>
    </font>
    <font>
      <sz val="8"/>
      <name val=".VnTime"/>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8"/>
      <name val="Times New Roman"/>
      <family val="2"/>
    </font>
  </fonts>
  <fills count="5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4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double"/>
      <top style="thin"/>
      <bottom style="thin"/>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color indexed="63"/>
      </right>
      <top style="thin"/>
      <bottom style="thin"/>
    </border>
    <border>
      <left style="thin"/>
      <right style="thin"/>
      <top style="double"/>
      <bottom style="thin"/>
    </border>
    <border>
      <left>
        <color indexed="63"/>
      </left>
      <right>
        <color indexed="63"/>
      </right>
      <top>
        <color indexed="63"/>
      </top>
      <bottom style="double"/>
    </border>
    <border>
      <left style="double"/>
      <right style="thin"/>
      <top style="thin"/>
      <bottom style="thin"/>
    </border>
    <border>
      <left style="double"/>
      <right style="thin"/>
      <top style="double"/>
      <bottom style="thin"/>
    </border>
    <border>
      <left style="thin"/>
      <right style="double"/>
      <top style="double"/>
      <bottom style="thin"/>
    </border>
  </borders>
  <cellStyleXfs count="3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7"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127"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127"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127"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27"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127" fillId="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127" fillId="10"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27" fillId="1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127"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27" fillId="1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27" fillId="16"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27"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28" fillId="19"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128" fillId="21"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128"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28"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28"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28"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28"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28" fillId="28"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128" fillId="30"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28" fillId="3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28" fillId="3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28" fillId="34"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29" fillId="36"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130" fillId="37" borderId="1" applyNumberFormat="0" applyAlignment="0" applyProtection="0"/>
    <xf numFmtId="0" fontId="39" fillId="38" borderId="2" applyNumberFormat="0" applyAlignment="0" applyProtection="0"/>
    <xf numFmtId="0" fontId="39" fillId="3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1" fillId="39" borderId="3" applyNumberFormat="0" applyAlignment="0" applyProtection="0"/>
    <xf numFmtId="0" fontId="40" fillId="40" borderId="4" applyNumberFormat="0" applyAlignment="0" applyProtection="0"/>
    <xf numFmtId="0" fontId="40" fillId="40" borderId="4" applyNumberFormat="0" applyAlignment="0" applyProtection="0"/>
    <xf numFmtId="0" fontId="132"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133" fillId="41"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134" fillId="0" borderId="5"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135" fillId="0" borderId="7" applyNumberFormat="0" applyFill="0" applyAlignment="0" applyProtection="0"/>
    <xf numFmtId="0" fontId="44" fillId="0" borderId="8" applyNumberFormat="0" applyFill="0" applyAlignment="0" applyProtection="0"/>
    <xf numFmtId="0" fontId="44" fillId="0" borderId="8" applyNumberFormat="0" applyFill="0" applyAlignment="0" applyProtection="0"/>
    <xf numFmtId="0" fontId="136" fillId="0" borderId="9"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136"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137" fillId="42" borderId="1" applyNumberFormat="0" applyAlignment="0" applyProtection="0"/>
    <xf numFmtId="0" fontId="46" fillId="9" borderId="2" applyNumberFormat="0" applyAlignment="0" applyProtection="0"/>
    <xf numFmtId="0" fontId="46" fillId="9" borderId="2" applyNumberFormat="0" applyAlignment="0" applyProtection="0"/>
    <xf numFmtId="0" fontId="138" fillId="0" borderId="11"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139" fillId="43"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10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2" fillId="0" borderId="0">
      <alignment/>
      <protection/>
    </xf>
    <xf numFmtId="0" fontId="0" fillId="0" borderId="0">
      <alignment/>
      <protection/>
    </xf>
    <xf numFmtId="0" fontId="0" fillId="0" borderId="0">
      <alignment/>
      <protection/>
    </xf>
    <xf numFmtId="0" fontId="0" fillId="0" borderId="0">
      <alignment/>
      <protection/>
    </xf>
    <xf numFmtId="0" fontId="102" fillId="0" borderId="0">
      <alignment/>
      <protection/>
    </xf>
    <xf numFmtId="0" fontId="0" fillId="0" borderId="0">
      <alignment/>
      <protection/>
    </xf>
    <xf numFmtId="0" fontId="10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2" fillId="0" borderId="0">
      <alignment/>
      <protection/>
    </xf>
    <xf numFmtId="0" fontId="0" fillId="0" borderId="0">
      <alignment/>
      <protection/>
    </xf>
    <xf numFmtId="0" fontId="0"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0" fillId="0" borderId="0">
      <alignment/>
      <protection/>
    </xf>
    <xf numFmtId="0" fontId="0" fillId="0" borderId="0">
      <alignment/>
      <protection/>
    </xf>
    <xf numFmtId="0" fontId="0"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0" fillId="0" borderId="0">
      <alignment/>
      <protection/>
    </xf>
    <xf numFmtId="0" fontId="0" fillId="0" borderId="0">
      <alignment/>
      <protection/>
    </xf>
    <xf numFmtId="0" fontId="0"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2" fillId="0" borderId="0">
      <alignment/>
      <protection/>
    </xf>
    <xf numFmtId="0" fontId="10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45" borderId="13" applyNumberFormat="0" applyFont="0" applyAlignment="0" applyProtection="0"/>
    <xf numFmtId="0" fontId="36" fillId="46" borderId="14" applyNumberFormat="0" applyFont="0" applyAlignment="0" applyProtection="0"/>
    <xf numFmtId="0" fontId="36" fillId="46" borderId="14" applyNumberFormat="0" applyFont="0" applyAlignment="0" applyProtection="0"/>
    <xf numFmtId="0" fontId="140" fillId="37" borderId="15" applyNumberFormat="0" applyAlignment="0" applyProtection="0"/>
    <xf numFmtId="0" fontId="49" fillId="38" borderId="16" applyNumberFormat="0" applyAlignment="0" applyProtection="0"/>
    <xf numFmtId="0" fontId="49" fillId="38"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0" fontId="14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42" fillId="0" borderId="17"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143"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cellStyleXfs>
  <cellXfs count="952">
    <xf numFmtId="0" fontId="0" fillId="0" borderId="0" xfId="0" applyAlignment="1">
      <alignment/>
    </xf>
    <xf numFmtId="49" fontId="0" fillId="0" borderId="0" xfId="0" applyNumberFormat="1" applyFill="1" applyAlignment="1">
      <alignment/>
    </xf>
    <xf numFmtId="49" fontId="9" fillId="0" borderId="0" xfId="93" applyNumberFormat="1" applyFont="1" applyBorder="1" applyAlignment="1">
      <alignment vertical="center"/>
    </xf>
    <xf numFmtId="49" fontId="9" fillId="0" borderId="19" xfId="93" applyNumberFormat="1" applyFont="1" applyBorder="1" applyAlignment="1">
      <alignment vertical="center"/>
    </xf>
    <xf numFmtId="49" fontId="5" fillId="0" borderId="20" xfId="0" applyNumberFormat="1" applyFont="1" applyFill="1" applyBorder="1" applyAlignment="1">
      <alignment horizontal="left"/>
    </xf>
    <xf numFmtId="49" fontId="7"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5" fillId="0" borderId="22" xfId="0" applyNumberFormat="1" applyFont="1" applyFill="1" applyBorder="1" applyAlignment="1">
      <alignment/>
    </xf>
    <xf numFmtId="49" fontId="5" fillId="0" borderId="20" xfId="0" applyNumberFormat="1" applyFont="1" applyFill="1" applyBorder="1" applyAlignment="1">
      <alignment horizontal="center" vertical="center" wrapText="1"/>
    </xf>
    <xf numFmtId="49" fontId="6" fillId="0" borderId="20" xfId="0" applyNumberFormat="1" applyFont="1" applyFill="1" applyBorder="1" applyAlignment="1">
      <alignment horizontal="center"/>
    </xf>
    <xf numFmtId="49" fontId="6" fillId="0" borderId="20" xfId="0" applyNumberFormat="1" applyFont="1" applyFill="1" applyBorder="1" applyAlignment="1">
      <alignment horizontal="left"/>
    </xf>
    <xf numFmtId="49" fontId="16" fillId="0" borderId="20" xfId="0" applyNumberFormat="1" applyFont="1" applyFill="1" applyBorder="1" applyAlignment="1">
      <alignment horizontal="center" vertical="center" wrapText="1"/>
    </xf>
    <xf numFmtId="49" fontId="6" fillId="0" borderId="23" xfId="0" applyNumberFormat="1" applyFont="1" applyFill="1" applyBorder="1" applyAlignment="1">
      <alignment horizontal="center"/>
    </xf>
    <xf numFmtId="49" fontId="12" fillId="0" borderId="20" xfId="0" applyNumberFormat="1" applyFont="1" applyFill="1" applyBorder="1" applyAlignment="1">
      <alignment horizontal="left"/>
    </xf>
    <xf numFmtId="49" fontId="5" fillId="0" borderId="20" xfId="0" applyNumberFormat="1" applyFont="1" applyFill="1" applyBorder="1" applyAlignment="1">
      <alignment horizontal="center"/>
    </xf>
    <xf numFmtId="49" fontId="7"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20" fillId="0" borderId="0" xfId="0" applyNumberFormat="1" applyFont="1" applyFill="1" applyAlignment="1">
      <alignment/>
    </xf>
    <xf numFmtId="49" fontId="22" fillId="0" borderId="0" xfId="0" applyNumberFormat="1" applyFont="1" applyFill="1" applyAlignment="1">
      <alignment/>
    </xf>
    <xf numFmtId="49" fontId="3" fillId="0" borderId="0" xfId="0" applyNumberFormat="1" applyFont="1" applyFill="1" applyAlignment="1">
      <alignment/>
    </xf>
    <xf numFmtId="49" fontId="13"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20" xfId="0" applyNumberFormat="1" applyFont="1" applyFill="1" applyBorder="1" applyAlignment="1">
      <alignment/>
    </xf>
    <xf numFmtId="49" fontId="15" fillId="0" borderId="0" xfId="0" applyNumberFormat="1" applyFont="1" applyFill="1" applyBorder="1" applyAlignment="1">
      <alignment vertical="center" wrapText="1"/>
    </xf>
    <xf numFmtId="49" fontId="18" fillId="0" borderId="0" xfId="0" applyNumberFormat="1" applyFont="1" applyFill="1" applyAlignment="1">
      <alignment/>
    </xf>
    <xf numFmtId="49" fontId="23" fillId="0" borderId="0" xfId="0" applyNumberFormat="1" applyFont="1" applyFill="1" applyBorder="1" applyAlignment="1">
      <alignment vertical="center" wrapText="1"/>
    </xf>
    <xf numFmtId="49" fontId="0" fillId="47" borderId="20" xfId="0" applyNumberFormat="1" applyFont="1" applyFill="1" applyBorder="1" applyAlignment="1">
      <alignment/>
    </xf>
    <xf numFmtId="3" fontId="4" fillId="47" borderId="20" xfId="284" applyNumberFormat="1" applyFont="1" applyFill="1" applyBorder="1" applyAlignment="1" applyProtection="1">
      <alignment horizontal="center" vertical="center"/>
      <protection/>
    </xf>
    <xf numFmtId="49" fontId="0" fillId="47" borderId="0" xfId="286" applyNumberFormat="1" applyFont="1" applyFill="1" applyBorder="1" applyAlignment="1">
      <alignment horizontal="left"/>
      <protection/>
    </xf>
    <xf numFmtId="49" fontId="0" fillId="0" borderId="0" xfId="286" applyNumberFormat="1" applyFont="1">
      <alignment/>
      <protection/>
    </xf>
    <xf numFmtId="49" fontId="0" fillId="0" borderId="0" xfId="286" applyNumberFormat="1">
      <alignment/>
      <protection/>
    </xf>
    <xf numFmtId="49" fontId="0" fillId="0" borderId="0" xfId="286" applyNumberFormat="1" applyFont="1" applyAlignment="1">
      <alignment horizontal="left"/>
      <protection/>
    </xf>
    <xf numFmtId="49" fontId="0" fillId="0" borderId="0" xfId="286" applyNumberFormat="1" applyFont="1" applyBorder="1" applyAlignment="1">
      <alignment wrapText="1"/>
      <protection/>
    </xf>
    <xf numFmtId="49" fontId="15" fillId="0" borderId="0" xfId="286" applyNumberFormat="1" applyFont="1" applyAlignment="1">
      <alignment/>
      <protection/>
    </xf>
    <xf numFmtId="49" fontId="0" fillId="0" borderId="0" xfId="286" applyNumberFormat="1" applyFont="1" applyBorder="1" applyAlignment="1">
      <alignment horizontal="left" wrapText="1"/>
      <protection/>
    </xf>
    <xf numFmtId="49" fontId="18" fillId="0" borderId="0" xfId="286" applyNumberFormat="1" applyFont="1" applyAlignment="1">
      <alignment horizontal="left"/>
      <protection/>
    </xf>
    <xf numFmtId="49" fontId="0" fillId="0" borderId="0" xfId="286" applyNumberFormat="1" applyFont="1" applyFill="1" applyAlignment="1">
      <alignment/>
      <protection/>
    </xf>
    <xf numFmtId="49" fontId="0" fillId="0" borderId="0" xfId="286" applyNumberFormat="1" applyFont="1" applyFill="1" applyAlignment="1">
      <alignment horizontal="center"/>
      <protection/>
    </xf>
    <xf numFmtId="49" fontId="0" fillId="0" borderId="0" xfId="286" applyNumberFormat="1" applyFont="1" applyAlignment="1">
      <alignment horizontal="center"/>
      <protection/>
    </xf>
    <xf numFmtId="49" fontId="0" fillId="0" borderId="0" xfId="286" applyNumberFormat="1" applyFont="1" applyFill="1">
      <alignment/>
      <protection/>
    </xf>
    <xf numFmtId="49" fontId="13" fillId="47" borderId="22" xfId="286" applyNumberFormat="1" applyFont="1" applyFill="1" applyBorder="1" applyAlignment="1">
      <alignment/>
      <protection/>
    </xf>
    <xf numFmtId="49" fontId="7" fillId="0" borderId="20" xfId="286" applyNumberFormat="1" applyFont="1" applyFill="1" applyBorder="1" applyAlignment="1">
      <alignment horizontal="center" vertical="center" wrapText="1"/>
      <protection/>
    </xf>
    <xf numFmtId="49" fontId="53" fillId="48" borderId="20" xfId="286" applyNumberFormat="1" applyFont="1" applyFill="1" applyBorder="1" applyAlignment="1">
      <alignment horizontal="center"/>
      <protection/>
    </xf>
    <xf numFmtId="49" fontId="7" fillId="0" borderId="21" xfId="286" applyNumberFormat="1" applyFont="1" applyFill="1" applyBorder="1" applyAlignment="1">
      <alignment horizontal="center" vertical="center" wrapText="1"/>
      <protection/>
    </xf>
    <xf numFmtId="49" fontId="7" fillId="0" borderId="20" xfId="286" applyNumberFormat="1" applyFont="1" applyBorder="1" applyAlignment="1">
      <alignment horizontal="center" vertical="center" wrapText="1"/>
      <protection/>
    </xf>
    <xf numFmtId="49" fontId="54" fillId="0" borderId="20" xfId="286" applyNumberFormat="1" applyFont="1" applyFill="1" applyBorder="1" applyAlignment="1">
      <alignment horizontal="center" vertical="center" wrapText="1"/>
      <protection/>
    </xf>
    <xf numFmtId="49" fontId="18" fillId="0" borderId="20" xfId="286" applyNumberFormat="1" applyFont="1" applyBorder="1" applyAlignment="1">
      <alignment horizontal="center" vertical="center"/>
      <protection/>
    </xf>
    <xf numFmtId="3" fontId="0" fillId="0" borderId="20" xfId="286" applyNumberFormat="1" applyFont="1" applyBorder="1" applyAlignment="1">
      <alignment horizontal="center" vertical="center"/>
      <protection/>
    </xf>
    <xf numFmtId="3" fontId="0" fillId="0" borderId="20" xfId="286" applyNumberFormat="1" applyFont="1" applyBorder="1" applyAlignment="1">
      <alignment vertical="center"/>
      <protection/>
    </xf>
    <xf numFmtId="49" fontId="0" fillId="0" borderId="0" xfId="286" applyNumberFormat="1" applyAlignment="1">
      <alignment vertical="center"/>
      <protection/>
    </xf>
    <xf numFmtId="3" fontId="52" fillId="3" borderId="20" xfId="286" applyNumberFormat="1" applyFont="1" applyFill="1" applyBorder="1" applyAlignment="1">
      <alignment vertical="center"/>
      <protection/>
    </xf>
    <xf numFmtId="3" fontId="57" fillId="3" borderId="20" xfId="286" applyNumberFormat="1" applyFont="1" applyFill="1" applyBorder="1" applyAlignment="1">
      <alignment vertical="center"/>
      <protection/>
    </xf>
    <xf numFmtId="49" fontId="58" fillId="0" borderId="20" xfId="286" applyNumberFormat="1" applyFont="1" applyBorder="1" applyAlignment="1">
      <alignment horizontal="center" vertical="center"/>
      <protection/>
    </xf>
    <xf numFmtId="3" fontId="25" fillId="44" borderId="20" xfId="286" applyNumberFormat="1" applyFont="1" applyFill="1" applyBorder="1" applyAlignment="1">
      <alignment vertical="center"/>
      <protection/>
    </xf>
    <xf numFmtId="3" fontId="3" fillId="48" borderId="20" xfId="286" applyNumberFormat="1" applyFont="1" applyFill="1" applyBorder="1" applyAlignment="1">
      <alignment horizontal="center" vertical="center"/>
      <protection/>
    </xf>
    <xf numFmtId="3" fontId="3" fillId="48" borderId="20" xfId="286" applyNumberFormat="1" applyFont="1" applyFill="1" applyBorder="1" applyAlignment="1">
      <alignment vertical="center"/>
      <protection/>
    </xf>
    <xf numFmtId="49" fontId="7" fillId="44" borderId="20" xfId="286" applyNumberFormat="1" applyFont="1" applyFill="1" applyBorder="1" applyAlignment="1">
      <alignment horizontal="center" vertical="center"/>
      <protection/>
    </xf>
    <xf numFmtId="49" fontId="7" fillId="44" borderId="20" xfId="286" applyNumberFormat="1" applyFont="1" applyFill="1" applyBorder="1" applyAlignment="1">
      <alignment horizontal="left" vertical="center"/>
      <protection/>
    </xf>
    <xf numFmtId="3" fontId="28" fillId="48" borderId="20" xfId="286" applyNumberFormat="1" applyFont="1" applyFill="1" applyBorder="1" applyAlignment="1">
      <alignment vertical="center"/>
      <protection/>
    </xf>
    <xf numFmtId="3" fontId="28" fillId="0" borderId="20" xfId="286" applyNumberFormat="1" applyFont="1" applyFill="1" applyBorder="1" applyAlignment="1">
      <alignment vertical="center"/>
      <protection/>
    </xf>
    <xf numFmtId="9" fontId="0" fillId="0" borderId="0" xfId="299" applyFont="1" applyAlignment="1">
      <alignment vertical="center"/>
    </xf>
    <xf numFmtId="49" fontId="7" fillId="44" borderId="23" xfId="286" applyNumberFormat="1" applyFont="1" applyFill="1" applyBorder="1" applyAlignment="1">
      <alignment horizontal="center" vertical="center"/>
      <protection/>
    </xf>
    <xf numFmtId="3" fontId="25" fillId="44" borderId="20" xfId="286" applyNumberFormat="1" applyFont="1" applyFill="1" applyBorder="1" applyAlignment="1">
      <alignment vertical="center"/>
      <protection/>
    </xf>
    <xf numFmtId="49" fontId="4" fillId="0" borderId="20" xfId="286" applyNumberFormat="1" applyFont="1" applyBorder="1" applyAlignment="1">
      <alignment horizontal="center" vertical="center"/>
      <protection/>
    </xf>
    <xf numFmtId="49" fontId="4" fillId="47" borderId="20" xfId="286" applyNumberFormat="1" applyFont="1" applyFill="1" applyBorder="1" applyAlignment="1">
      <alignment horizontal="left" vertical="center"/>
      <protection/>
    </xf>
    <xf numFmtId="49" fontId="5" fillId="47" borderId="20" xfId="286" applyNumberFormat="1" applyFont="1" applyFill="1" applyBorder="1" applyAlignment="1">
      <alignment horizontal="left" vertical="center"/>
      <protection/>
    </xf>
    <xf numFmtId="3" fontId="28" fillId="0" borderId="20" xfId="287" applyNumberFormat="1" applyFont="1" applyFill="1" applyBorder="1" applyAlignment="1">
      <alignment vertical="center"/>
      <protection/>
    </xf>
    <xf numFmtId="49" fontId="20" fillId="0" borderId="0" xfId="286" applyNumberFormat="1" applyFont="1" applyAlignment="1">
      <alignment vertical="center"/>
      <protection/>
    </xf>
    <xf numFmtId="49" fontId="4" fillId="47" borderId="20" xfId="286" applyNumberFormat="1" applyFont="1" applyFill="1" applyBorder="1" applyAlignment="1">
      <alignment horizontal="left" vertical="center"/>
      <protection/>
    </xf>
    <xf numFmtId="3" fontId="28" fillId="0" borderId="20" xfId="287" applyNumberFormat="1" applyFont="1" applyFill="1" applyBorder="1" applyAlignment="1">
      <alignment horizontal="center" vertical="center"/>
      <protection/>
    </xf>
    <xf numFmtId="49" fontId="0" fillId="0" borderId="0" xfId="286" applyNumberFormat="1" applyFill="1">
      <alignment/>
      <protection/>
    </xf>
    <xf numFmtId="49" fontId="20" fillId="0" borderId="0" xfId="286" applyNumberFormat="1" applyFont="1">
      <alignment/>
      <protection/>
    </xf>
    <xf numFmtId="49" fontId="28" fillId="0" borderId="0" xfId="286" applyNumberFormat="1" applyFont="1" applyFill="1" applyBorder="1" applyAlignment="1">
      <alignment horizontal="center" wrapText="1"/>
      <protection/>
    </xf>
    <xf numFmtId="49" fontId="59" fillId="0" borderId="0" xfId="286" applyNumberFormat="1" applyFont="1" applyBorder="1">
      <alignment/>
      <protection/>
    </xf>
    <xf numFmtId="49" fontId="60" fillId="0" borderId="0" xfId="286" applyNumberFormat="1" applyFont="1">
      <alignment/>
      <protection/>
    </xf>
    <xf numFmtId="49" fontId="1" fillId="0" borderId="0" xfId="286" applyNumberFormat="1" applyFont="1">
      <alignment/>
      <protection/>
    </xf>
    <xf numFmtId="9" fontId="1" fillId="0" borderId="0" xfId="299" applyFont="1" applyAlignment="1">
      <alignment/>
    </xf>
    <xf numFmtId="49" fontId="61" fillId="0" borderId="0" xfId="286" applyNumberFormat="1" applyFont="1" applyBorder="1">
      <alignment/>
      <protection/>
    </xf>
    <xf numFmtId="49" fontId="25" fillId="0" borderId="0" xfId="286" applyNumberFormat="1" applyFont="1" applyBorder="1" applyAlignment="1">
      <alignment horizontal="center" wrapText="1"/>
      <protection/>
    </xf>
    <xf numFmtId="49" fontId="25" fillId="0" borderId="0" xfId="286" applyNumberFormat="1" applyFont="1" applyFill="1" applyBorder="1" applyAlignment="1">
      <alignment horizontal="center" wrapText="1"/>
      <protection/>
    </xf>
    <xf numFmtId="49" fontId="62" fillId="0" borderId="0" xfId="286" applyNumberFormat="1" applyFont="1" applyBorder="1">
      <alignment/>
      <protection/>
    </xf>
    <xf numFmtId="49" fontId="63" fillId="0" borderId="0" xfId="286" applyNumberFormat="1" applyFont="1" applyBorder="1" applyAlignment="1">
      <alignment wrapText="1"/>
      <protection/>
    </xf>
    <xf numFmtId="49" fontId="2" fillId="0" borderId="0" xfId="286" applyNumberFormat="1" applyFont="1" applyBorder="1">
      <alignment/>
      <protection/>
    </xf>
    <xf numFmtId="49" fontId="40" fillId="0" borderId="0" xfId="286" applyNumberFormat="1" applyFont="1" applyBorder="1" applyAlignment="1">
      <alignment horizontal="center" wrapText="1"/>
      <protection/>
    </xf>
    <xf numFmtId="49" fontId="40" fillId="0" borderId="0" xfId="286" applyNumberFormat="1" applyFont="1" applyFill="1" applyBorder="1" applyAlignment="1">
      <alignment horizontal="center" wrapText="1"/>
      <protection/>
    </xf>
    <xf numFmtId="49" fontId="64" fillId="0" borderId="0" xfId="286" applyNumberFormat="1" applyFont="1" applyBorder="1">
      <alignment/>
      <protection/>
    </xf>
    <xf numFmtId="49" fontId="28" fillId="0" borderId="0" xfId="286" applyNumberFormat="1" applyFont="1">
      <alignment/>
      <protection/>
    </xf>
    <xf numFmtId="49" fontId="28" fillId="0" borderId="0" xfId="286" applyNumberFormat="1" applyFont="1" applyFill="1">
      <alignment/>
      <protection/>
    </xf>
    <xf numFmtId="49" fontId="28" fillId="47" borderId="0" xfId="286" applyNumberFormat="1" applyFont="1" applyFill="1">
      <alignment/>
      <protection/>
    </xf>
    <xf numFmtId="0" fontId="25" fillId="0" borderId="0" xfId="286" applyFont="1" applyAlignment="1">
      <alignment horizontal="center"/>
      <protection/>
    </xf>
    <xf numFmtId="49" fontId="25" fillId="47" borderId="0" xfId="286" applyNumberFormat="1" applyFont="1" applyFill="1" applyAlignment="1">
      <alignment horizontal="center"/>
      <protection/>
    </xf>
    <xf numFmtId="0" fontId="66" fillId="0" borderId="0" xfId="286" applyFont="1" applyAlignment="1">
      <alignment/>
      <protection/>
    </xf>
    <xf numFmtId="0" fontId="3" fillId="0" borderId="0" xfId="286" applyFont="1" applyAlignment="1">
      <alignment/>
      <protection/>
    </xf>
    <xf numFmtId="49" fontId="31" fillId="0" borderId="0" xfId="286" applyNumberFormat="1" applyFont="1">
      <alignment/>
      <protection/>
    </xf>
    <xf numFmtId="3" fontId="0" fillId="0" borderId="0" xfId="286" applyNumberFormat="1" applyFont="1" applyFill="1">
      <alignment/>
      <protection/>
    </xf>
    <xf numFmtId="49" fontId="3" fillId="0" borderId="0" xfId="286" applyNumberFormat="1" applyFont="1" applyFill="1" applyAlignment="1">
      <alignment wrapText="1"/>
      <protection/>
    </xf>
    <xf numFmtId="49" fontId="0" fillId="0" borderId="0" xfId="286" applyNumberFormat="1" applyFont="1" applyFill="1" applyBorder="1" applyAlignment="1">
      <alignment/>
      <protection/>
    </xf>
    <xf numFmtId="49" fontId="0" fillId="0" borderId="0" xfId="286" applyNumberFormat="1" applyFont="1" applyFill="1" applyBorder="1">
      <alignment/>
      <protection/>
    </xf>
    <xf numFmtId="49" fontId="19" fillId="0" borderId="22" xfId="286" applyNumberFormat="1" applyFont="1" applyFill="1" applyBorder="1" applyAlignment="1">
      <alignment/>
      <protection/>
    </xf>
    <xf numFmtId="49" fontId="5" fillId="0" borderId="22" xfId="286" applyNumberFormat="1" applyFont="1" applyFill="1" applyBorder="1" applyAlignment="1">
      <alignment horizontal="center"/>
      <protection/>
    </xf>
    <xf numFmtId="49" fontId="0" fillId="0" borderId="0" xfId="286" applyNumberFormat="1" applyFill="1" applyBorder="1">
      <alignment/>
      <protection/>
    </xf>
    <xf numFmtId="49" fontId="6" fillId="0" borderId="20" xfId="286" applyNumberFormat="1" applyFont="1" applyFill="1" applyBorder="1" applyAlignment="1">
      <alignment horizontal="center" vertical="center" wrapText="1"/>
      <protection/>
    </xf>
    <xf numFmtId="49" fontId="19" fillId="0" borderId="20" xfId="286" applyNumberFormat="1" applyFont="1" applyFill="1" applyBorder="1" applyAlignment="1">
      <alignment horizontal="center" vertical="center" wrapText="1"/>
      <protection/>
    </xf>
    <xf numFmtId="3" fontId="29" fillId="3" borderId="20" xfId="286" applyNumberFormat="1" applyFont="1" applyFill="1" applyBorder="1" applyAlignment="1">
      <alignment horizontal="center" vertical="center" wrapText="1"/>
      <protection/>
    </xf>
    <xf numFmtId="3" fontId="69" fillId="3" borderId="20" xfId="286" applyNumberFormat="1" applyFont="1" applyFill="1" applyBorder="1" applyAlignment="1">
      <alignment horizontal="center" vertical="center" wrapText="1"/>
      <protection/>
    </xf>
    <xf numFmtId="3" fontId="6" fillId="44" borderId="20" xfId="286" applyNumberFormat="1" applyFont="1" applyFill="1" applyBorder="1" applyAlignment="1">
      <alignment horizontal="center" vertical="center" wrapText="1"/>
      <protection/>
    </xf>
    <xf numFmtId="49" fontId="7" fillId="0" borderId="20" xfId="286" applyNumberFormat="1" applyFont="1" applyFill="1" applyBorder="1" applyAlignment="1">
      <alignment horizontal="center"/>
      <protection/>
    </xf>
    <xf numFmtId="49" fontId="7" fillId="0" borderId="20" xfId="286" applyNumberFormat="1" applyFont="1" applyFill="1" applyBorder="1" applyAlignment="1">
      <alignment horizontal="left"/>
      <protection/>
    </xf>
    <xf numFmtId="3" fontId="5" fillId="44" borderId="20" xfId="286" applyNumberFormat="1" applyFont="1" applyFill="1" applyBorder="1" applyAlignment="1">
      <alignment horizontal="center" vertical="center" wrapText="1"/>
      <protection/>
    </xf>
    <xf numFmtId="3" fontId="5" fillId="0" borderId="20" xfId="286" applyNumberFormat="1" applyFont="1" applyFill="1" applyBorder="1" applyAlignment="1">
      <alignment horizontal="center" vertical="center" wrapText="1"/>
      <protection/>
    </xf>
    <xf numFmtId="9" fontId="0" fillId="0" borderId="0" xfId="299" applyFont="1" applyFill="1" applyAlignment="1">
      <alignment/>
    </xf>
    <xf numFmtId="49" fontId="7" fillId="44" borderId="23" xfId="286" applyNumberFormat="1" applyFont="1" applyFill="1" applyBorder="1" applyAlignment="1">
      <alignment horizontal="center"/>
      <protection/>
    </xf>
    <xf numFmtId="49" fontId="7" fillId="44" borderId="20" xfId="286" applyNumberFormat="1" applyFont="1" applyFill="1" applyBorder="1" applyAlignment="1">
      <alignment horizontal="left"/>
      <protection/>
    </xf>
    <xf numFmtId="49" fontId="4" fillId="0" borderId="23" xfId="286" applyNumberFormat="1" applyFont="1" applyFill="1" applyBorder="1" applyAlignment="1">
      <alignment horizontal="center"/>
      <protection/>
    </xf>
    <xf numFmtId="49" fontId="4" fillId="47" borderId="20" xfId="286" applyNumberFormat="1" applyFont="1" applyFill="1" applyBorder="1" applyAlignment="1">
      <alignment horizontal="left"/>
      <protection/>
    </xf>
    <xf numFmtId="3" fontId="5" fillId="47" borderId="20" xfId="286" applyNumberFormat="1" applyFont="1" applyFill="1" applyBorder="1" applyAlignment="1">
      <alignment horizontal="center" vertical="center" wrapText="1"/>
      <protection/>
    </xf>
    <xf numFmtId="49" fontId="5" fillId="47" borderId="20" xfId="286" applyNumberFormat="1" applyFont="1" applyFill="1" applyBorder="1" applyAlignment="1">
      <alignment horizontal="left"/>
      <protection/>
    </xf>
    <xf numFmtId="49" fontId="6" fillId="0" borderId="19" xfId="286" applyNumberFormat="1" applyFont="1" applyFill="1" applyBorder="1" applyAlignment="1">
      <alignment horizontal="center"/>
      <protection/>
    </xf>
    <xf numFmtId="49" fontId="6" fillId="0" borderId="19" xfId="286" applyNumberFormat="1" applyFont="1" applyFill="1" applyBorder="1" applyAlignment="1">
      <alignment horizontal="left"/>
      <protection/>
    </xf>
    <xf numFmtId="3" fontId="5" fillId="0" borderId="19" xfId="286" applyNumberFormat="1" applyFont="1" applyFill="1" applyBorder="1" applyAlignment="1">
      <alignment horizontal="center" vertical="center" wrapText="1"/>
      <protection/>
    </xf>
    <xf numFmtId="49" fontId="15" fillId="0" borderId="0" xfId="286" applyNumberFormat="1" applyFont="1" applyFill="1" applyBorder="1" applyAlignment="1">
      <alignment vertical="center" wrapText="1"/>
      <protection/>
    </xf>
    <xf numFmtId="49" fontId="70" fillId="0" borderId="0" xfId="286" applyNumberFormat="1" applyFont="1" applyFill="1">
      <alignment/>
      <protection/>
    </xf>
    <xf numFmtId="49" fontId="4" fillId="0" borderId="0" xfId="286" applyNumberFormat="1" applyFont="1" applyFill="1">
      <alignment/>
      <protection/>
    </xf>
    <xf numFmtId="49" fontId="0" fillId="47" borderId="0" xfId="286" applyNumberFormat="1" applyFont="1" applyFill="1">
      <alignment/>
      <protection/>
    </xf>
    <xf numFmtId="49" fontId="3" fillId="47" borderId="0" xfId="286" applyNumberFormat="1" applyFont="1" applyFill="1" applyAlignment="1">
      <alignment horizontal="center"/>
      <protection/>
    </xf>
    <xf numFmtId="49" fontId="22" fillId="0" borderId="0" xfId="286" applyNumberFormat="1" applyFont="1" applyFill="1">
      <alignment/>
      <protection/>
    </xf>
    <xf numFmtId="49" fontId="3" fillId="0" borderId="0" xfId="286" applyNumberFormat="1" applyFont="1" applyFill="1">
      <alignment/>
      <protection/>
    </xf>
    <xf numFmtId="49" fontId="13" fillId="0" borderId="0" xfId="286" applyNumberFormat="1" applyFont="1" applyFill="1" applyAlignment="1">
      <alignment/>
      <protection/>
    </xf>
    <xf numFmtId="49" fontId="13" fillId="0" borderId="0" xfId="286" applyNumberFormat="1" applyFont="1" applyFill="1" applyAlignment="1">
      <alignment wrapText="1"/>
      <protection/>
    </xf>
    <xf numFmtId="49" fontId="13" fillId="0" borderId="0" xfId="286" applyNumberFormat="1" applyFont="1" applyFill="1" applyAlignment="1">
      <alignment horizontal="left" wrapText="1"/>
      <protection/>
    </xf>
    <xf numFmtId="49" fontId="0" fillId="0" borderId="0" xfId="286" applyNumberFormat="1" applyAlignment="1">
      <alignment horizontal="left"/>
      <protection/>
    </xf>
    <xf numFmtId="49" fontId="0" fillId="0" borderId="0" xfId="286" applyNumberFormat="1" applyFont="1" applyBorder="1" applyAlignment="1">
      <alignment horizontal="left"/>
      <protection/>
    </xf>
    <xf numFmtId="49" fontId="13" fillId="0" borderId="20" xfId="286" applyNumberFormat="1" applyFont="1" applyBorder="1" applyAlignment="1">
      <alignment horizontal="center"/>
      <protection/>
    </xf>
    <xf numFmtId="3" fontId="4" fillId="4" borderId="20" xfId="287" applyNumberFormat="1" applyFont="1" applyFill="1" applyBorder="1" applyAlignment="1">
      <alignment horizontal="center" vertical="center"/>
      <protection/>
    </xf>
    <xf numFmtId="3" fontId="32" fillId="47" borderId="20" xfId="286" applyNumberFormat="1" applyFont="1" applyFill="1" applyBorder="1" applyAlignment="1">
      <alignment horizontal="center" vertical="center"/>
      <protection/>
    </xf>
    <xf numFmtId="3" fontId="17" fillId="3" borderId="20" xfId="286" applyNumberFormat="1" applyFont="1" applyFill="1" applyBorder="1" applyAlignment="1">
      <alignment horizontal="center" vertical="center"/>
      <protection/>
    </xf>
    <xf numFmtId="3" fontId="34" fillId="3" borderId="20" xfId="286" applyNumberFormat="1" applyFont="1" applyFill="1" applyBorder="1" applyAlignment="1">
      <alignment horizontal="center" vertical="center"/>
      <protection/>
    </xf>
    <xf numFmtId="3" fontId="7" fillId="44" borderId="20" xfId="286" applyNumberFormat="1" applyFont="1" applyFill="1" applyBorder="1" applyAlignment="1">
      <alignment horizontal="center" vertical="center"/>
      <protection/>
    </xf>
    <xf numFmtId="3" fontId="7" fillId="44" borderId="20" xfId="286" applyNumberFormat="1" applyFont="1" applyFill="1" applyBorder="1" applyAlignment="1">
      <alignment horizontal="center" vertical="center"/>
      <protection/>
    </xf>
    <xf numFmtId="3" fontId="7" fillId="4" borderId="20" xfId="287" applyNumberFormat="1" applyFont="1" applyFill="1" applyBorder="1" applyAlignment="1">
      <alignment horizontal="center" vertical="center"/>
      <protection/>
    </xf>
    <xf numFmtId="49" fontId="7" fillId="0" borderId="20" xfId="286" applyNumberFormat="1" applyFont="1" applyBorder="1" applyAlignment="1">
      <alignment horizontal="center" vertical="center"/>
      <protection/>
    </xf>
    <xf numFmtId="49" fontId="7" fillId="47" borderId="20" xfId="286" applyNumberFormat="1" applyFont="1" applyFill="1" applyBorder="1" applyAlignment="1">
      <alignment horizontal="left" vertical="center"/>
      <protection/>
    </xf>
    <xf numFmtId="3" fontId="4" fillId="47" borderId="20" xfId="286" applyNumberFormat="1" applyFont="1" applyFill="1" applyBorder="1" applyAlignment="1">
      <alignment horizontal="center" vertical="center"/>
      <protection/>
    </xf>
    <xf numFmtId="3" fontId="4" fillId="44" borderId="20" xfId="286" applyNumberFormat="1" applyFont="1" applyFill="1" applyBorder="1" applyAlignment="1">
      <alignment horizontal="center" vertical="center"/>
      <protection/>
    </xf>
    <xf numFmtId="49" fontId="4" fillId="0" borderId="23" xfId="286" applyNumberFormat="1" applyFont="1" applyBorder="1" applyAlignment="1">
      <alignment horizontal="center" vertical="center"/>
      <protection/>
    </xf>
    <xf numFmtId="49" fontId="0" fillId="0" borderId="0" xfId="286" applyNumberFormat="1" applyFont="1" applyAlignment="1">
      <alignment vertical="center"/>
      <protection/>
    </xf>
    <xf numFmtId="3" fontId="4" fillId="0" borderId="20" xfId="286" applyNumberFormat="1" applyFont="1" applyFill="1" applyBorder="1" applyAlignment="1">
      <alignment horizontal="center" vertical="center"/>
      <protection/>
    </xf>
    <xf numFmtId="3" fontId="4" fillId="47" borderId="20" xfId="287" applyNumberFormat="1" applyFont="1" applyFill="1" applyBorder="1" applyAlignment="1">
      <alignment horizontal="center" vertical="center"/>
      <protection/>
    </xf>
    <xf numFmtId="49" fontId="4" fillId="47" borderId="23" xfId="286" applyNumberFormat="1" applyFont="1" applyFill="1" applyBorder="1" applyAlignment="1">
      <alignment horizontal="center" vertical="center"/>
      <protection/>
    </xf>
    <xf numFmtId="9" fontId="20" fillId="0" borderId="0" xfId="299" applyFont="1" applyAlignment="1">
      <alignment vertical="center"/>
    </xf>
    <xf numFmtId="49" fontId="4" fillId="0" borderId="0" xfId="286" applyNumberFormat="1" applyFont="1" applyBorder="1" applyAlignment="1">
      <alignment horizontal="center"/>
      <protection/>
    </xf>
    <xf numFmtId="49" fontId="4" fillId="47" borderId="0" xfId="286" applyNumberFormat="1" applyFont="1" applyFill="1" applyBorder="1" applyAlignment="1">
      <alignment horizontal="left"/>
      <protection/>
    </xf>
    <xf numFmtId="49" fontId="0" fillId="0" borderId="0" xfId="286" applyNumberFormat="1" applyFont="1" applyFill="1" applyBorder="1" applyAlignment="1">
      <alignment horizontal="center"/>
      <protection/>
    </xf>
    <xf numFmtId="3" fontId="4" fillId="47" borderId="19" xfId="287" applyNumberFormat="1" applyFont="1" applyFill="1" applyBorder="1" applyAlignment="1">
      <alignment horizontal="center" vertical="center"/>
      <protection/>
    </xf>
    <xf numFmtId="9" fontId="0" fillId="0" borderId="0" xfId="299" applyFont="1" applyAlignment="1">
      <alignment/>
    </xf>
    <xf numFmtId="49" fontId="28" fillId="0" borderId="0" xfId="286" applyNumberFormat="1" applyFont="1" applyBorder="1" applyAlignment="1">
      <alignment wrapText="1"/>
      <protection/>
    </xf>
    <xf numFmtId="3" fontId="4" fillId="47" borderId="0" xfId="287" applyNumberFormat="1" applyFont="1" applyFill="1" applyBorder="1" applyAlignment="1">
      <alignment horizontal="center" vertical="center"/>
      <protection/>
    </xf>
    <xf numFmtId="49" fontId="28" fillId="0" borderId="0" xfId="286" applyNumberFormat="1" applyFont="1" applyAlignment="1">
      <alignment wrapText="1"/>
      <protection/>
    </xf>
    <xf numFmtId="49" fontId="37" fillId="0" borderId="0" xfId="286" applyNumberFormat="1" applyFont="1">
      <alignment/>
      <protection/>
    </xf>
    <xf numFmtId="49" fontId="37" fillId="0" borderId="0" xfId="286" applyNumberFormat="1" applyFont="1" applyAlignment="1">
      <alignment wrapText="1"/>
      <protection/>
    </xf>
    <xf numFmtId="49" fontId="3" fillId="47" borderId="0" xfId="286" applyNumberFormat="1" applyFont="1" applyFill="1" applyAlignment="1">
      <alignment/>
      <protection/>
    </xf>
    <xf numFmtId="49" fontId="72" fillId="0" borderId="0" xfId="286" applyNumberFormat="1" applyFont="1">
      <alignment/>
      <protection/>
    </xf>
    <xf numFmtId="49" fontId="13" fillId="0" borderId="0" xfId="286" applyNumberFormat="1" applyFont="1" applyBorder="1" applyAlignment="1">
      <alignment wrapText="1"/>
      <protection/>
    </xf>
    <xf numFmtId="49" fontId="0" fillId="0" borderId="0" xfId="288" applyNumberFormat="1" applyFont="1" applyAlignment="1">
      <alignment horizontal="left"/>
      <protection/>
    </xf>
    <xf numFmtId="49" fontId="14" fillId="0" borderId="0" xfId="288" applyNumberFormat="1" applyFont="1" applyAlignment="1">
      <alignment wrapText="1"/>
      <protection/>
    </xf>
    <xf numFmtId="49" fontId="3" fillId="47" borderId="0" xfId="288" applyNumberFormat="1" applyFont="1" applyFill="1" applyBorder="1" applyAlignment="1">
      <alignment horizontal="left"/>
      <protection/>
    </xf>
    <xf numFmtId="49" fontId="0" fillId="47" borderId="0" xfId="288" applyNumberFormat="1" applyFont="1" applyFill="1" applyBorder="1" applyAlignment="1">
      <alignment horizontal="left"/>
      <protection/>
    </xf>
    <xf numFmtId="49" fontId="26" fillId="0" borderId="0" xfId="288" applyNumberFormat="1" applyFont="1">
      <alignment/>
      <protection/>
    </xf>
    <xf numFmtId="49" fontId="0" fillId="47" borderId="0" xfId="288" applyNumberFormat="1" applyFont="1" applyFill="1" applyBorder="1" applyAlignment="1">
      <alignment/>
      <protection/>
    </xf>
    <xf numFmtId="49" fontId="3" fillId="0" borderId="0" xfId="288" applyNumberFormat="1" applyFont="1" applyBorder="1" applyAlignment="1">
      <alignment horizontal="left"/>
      <protection/>
    </xf>
    <xf numFmtId="49" fontId="0" fillId="0" borderId="0" xfId="288" applyNumberFormat="1" applyFont="1" applyBorder="1" applyAlignment="1">
      <alignment horizontal="left"/>
      <protection/>
    </xf>
    <xf numFmtId="49" fontId="0" fillId="0" borderId="0" xfId="288" applyNumberFormat="1" applyFont="1" applyBorder="1" applyAlignment="1">
      <alignment/>
      <protection/>
    </xf>
    <xf numFmtId="49" fontId="18" fillId="0" borderId="22" xfId="288" applyNumberFormat="1" applyFont="1" applyBorder="1" applyAlignment="1">
      <alignment horizontal="left"/>
      <protection/>
    </xf>
    <xf numFmtId="49" fontId="3" fillId="0" borderId="22" xfId="288" applyNumberFormat="1" applyFont="1" applyBorder="1" applyAlignment="1">
      <alignment horizontal="left"/>
      <protection/>
    </xf>
    <xf numFmtId="49" fontId="26" fillId="0" borderId="0" xfId="288" applyNumberFormat="1" applyFont="1" applyFill="1">
      <alignment/>
      <protection/>
    </xf>
    <xf numFmtId="49" fontId="26" fillId="0" borderId="0" xfId="288" applyNumberFormat="1" applyFont="1" applyAlignment="1">
      <alignment vertical="center"/>
      <protection/>
    </xf>
    <xf numFmtId="49" fontId="6" fillId="47" borderId="20" xfId="288" applyNumberFormat="1" applyFont="1" applyFill="1" applyBorder="1" applyAlignment="1">
      <alignment horizontal="left" vertical="center"/>
      <protection/>
    </xf>
    <xf numFmtId="49" fontId="1" fillId="0" borderId="0" xfId="288" applyNumberFormat="1" applyFont="1">
      <alignment/>
      <protection/>
    </xf>
    <xf numFmtId="49" fontId="28" fillId="0" borderId="0" xfId="288" applyNumberFormat="1" applyFont="1" applyBorder="1" applyAlignment="1">
      <alignment/>
      <protection/>
    </xf>
    <xf numFmtId="49" fontId="79" fillId="0" borderId="0" xfId="288" applyNumberFormat="1" applyFont="1">
      <alignment/>
      <protection/>
    </xf>
    <xf numFmtId="49" fontId="25" fillId="0" borderId="0" xfId="288" applyNumberFormat="1" applyFont="1" applyBorder="1" applyAlignment="1">
      <alignment/>
      <protection/>
    </xf>
    <xf numFmtId="49" fontId="5" fillId="0" borderId="0" xfId="288" applyNumberFormat="1" applyFont="1">
      <alignment/>
      <protection/>
    </xf>
    <xf numFmtId="49" fontId="28" fillId="0" borderId="0" xfId="288" applyNumberFormat="1" applyFont="1" applyAlignment="1">
      <alignment horizontal="center"/>
      <protection/>
    </xf>
    <xf numFmtId="49" fontId="28" fillId="0" borderId="0" xfId="288" applyNumberFormat="1" applyFont="1">
      <alignment/>
      <protection/>
    </xf>
    <xf numFmtId="49" fontId="79" fillId="0" borderId="0" xfId="288" applyNumberFormat="1" applyFont="1" applyAlignment="1">
      <alignment horizontal="center"/>
      <protection/>
    </xf>
    <xf numFmtId="49" fontId="13" fillId="0" borderId="0" xfId="288" applyNumberFormat="1" applyFont="1" applyBorder="1" applyAlignment="1">
      <alignment wrapText="1"/>
      <protection/>
    </xf>
    <xf numFmtId="49" fontId="81" fillId="0" borderId="0" xfId="288" applyNumberFormat="1" applyFont="1">
      <alignment/>
      <protection/>
    </xf>
    <xf numFmtId="9" fontId="26" fillId="0" borderId="0" xfId="299" applyFont="1" applyAlignment="1">
      <alignment/>
    </xf>
    <xf numFmtId="3" fontId="0" fillId="47" borderId="0" xfId="288" applyNumberFormat="1" applyFont="1" applyFill="1" applyBorder="1" applyAlignment="1">
      <alignment/>
      <protection/>
    </xf>
    <xf numFmtId="0" fontId="26" fillId="0" borderId="0" xfId="288">
      <alignment/>
      <protection/>
    </xf>
    <xf numFmtId="0" fontId="0" fillId="0" borderId="0" xfId="288" applyFont="1" applyAlignment="1">
      <alignment horizontal="left"/>
      <protection/>
    </xf>
    <xf numFmtId="0" fontId="0" fillId="0" borderId="0" xfId="288" applyFont="1" applyBorder="1" applyAlignment="1">
      <alignment/>
      <protection/>
    </xf>
    <xf numFmtId="0" fontId="0" fillId="0" borderId="0" xfId="288" applyFont="1" applyBorder="1" applyAlignment="1">
      <alignment horizontal="left"/>
      <protection/>
    </xf>
    <xf numFmtId="0" fontId="26" fillId="0" borderId="0" xfId="288" applyFont="1">
      <alignment/>
      <protection/>
    </xf>
    <xf numFmtId="0" fontId="6" fillId="0" borderId="20" xfId="288" applyFont="1" applyBorder="1" applyAlignment="1">
      <alignment horizontal="center" vertical="center"/>
      <protection/>
    </xf>
    <xf numFmtId="0" fontId="6" fillId="47" borderId="20" xfId="288" applyFont="1" applyFill="1" applyBorder="1" applyAlignment="1">
      <alignment horizontal="left" vertical="center"/>
      <protection/>
    </xf>
    <xf numFmtId="9" fontId="26" fillId="0" borderId="0" xfId="299" applyFont="1" applyAlignment="1">
      <alignment vertical="center"/>
    </xf>
    <xf numFmtId="0" fontId="5" fillId="0" borderId="23" xfId="288" applyFont="1" applyBorder="1" applyAlignment="1">
      <alignment horizontal="center" vertical="center"/>
      <protection/>
    </xf>
    <xf numFmtId="0" fontId="26" fillId="0" borderId="0" xfId="288" applyFont="1" applyAlignment="1">
      <alignment vertical="center"/>
      <protection/>
    </xf>
    <xf numFmtId="0" fontId="1" fillId="0" borderId="0" xfId="288" applyFont="1">
      <alignment/>
      <protection/>
    </xf>
    <xf numFmtId="0" fontId="25" fillId="0" borderId="0" xfId="288" applyFont="1" applyBorder="1" applyAlignment="1">
      <alignment horizontal="center" wrapText="1"/>
      <protection/>
    </xf>
    <xf numFmtId="0" fontId="28" fillId="0" borderId="0" xfId="288" applyFont="1" applyBorder="1" applyAlignment="1">
      <alignment wrapText="1"/>
      <protection/>
    </xf>
    <xf numFmtId="0" fontId="25" fillId="0" borderId="0" xfId="288" applyNumberFormat="1" applyFont="1" applyBorder="1" applyAlignment="1">
      <alignment/>
      <protection/>
    </xf>
    <xf numFmtId="0" fontId="79" fillId="0" borderId="0" xfId="288" applyFont="1">
      <alignment/>
      <protection/>
    </xf>
    <xf numFmtId="0" fontId="25" fillId="0" borderId="0" xfId="288" applyNumberFormat="1" applyFont="1" applyBorder="1" applyAlignment="1">
      <alignment horizontal="center"/>
      <protection/>
    </xf>
    <xf numFmtId="0" fontId="5" fillId="0" borderId="0" xfId="288" applyFont="1">
      <alignment/>
      <protection/>
    </xf>
    <xf numFmtId="0" fontId="28" fillId="0" borderId="0" xfId="288" applyFont="1">
      <alignment/>
      <protection/>
    </xf>
    <xf numFmtId="0" fontId="25" fillId="0" borderId="0" xfId="286" applyFont="1" applyAlignment="1">
      <alignment/>
      <protection/>
    </xf>
    <xf numFmtId="49" fontId="19" fillId="0" borderId="0" xfId="288" applyNumberFormat="1" applyFont="1">
      <alignment/>
      <protection/>
    </xf>
    <xf numFmtId="49" fontId="4" fillId="47" borderId="0" xfId="288" applyNumberFormat="1" applyFont="1" applyFill="1" applyBorder="1" applyAlignment="1">
      <alignment horizontal="left"/>
      <protection/>
    </xf>
    <xf numFmtId="49" fontId="4" fillId="0" borderId="0" xfId="288" applyNumberFormat="1" applyFont="1" applyBorder="1" applyAlignment="1">
      <alignment horizontal="left"/>
      <protection/>
    </xf>
    <xf numFmtId="49" fontId="0" fillId="0" borderId="22" xfId="288" applyNumberFormat="1" applyFont="1" applyBorder="1" applyAlignment="1">
      <alignment/>
      <protection/>
    </xf>
    <xf numFmtId="49" fontId="6" fillId="0" borderId="20" xfId="288" applyNumberFormat="1" applyFont="1" applyFill="1" applyBorder="1" applyAlignment="1">
      <alignment horizontal="center" vertical="center" wrapText="1"/>
      <protection/>
    </xf>
    <xf numFmtId="49" fontId="5" fillId="0" borderId="24" xfId="288" applyNumberFormat="1" applyFont="1" applyFill="1" applyBorder="1">
      <alignment/>
      <protection/>
    </xf>
    <xf numFmtId="49" fontId="5" fillId="0" borderId="0" xfId="288" applyNumberFormat="1" applyFont="1" applyFill="1">
      <alignment/>
      <protection/>
    </xf>
    <xf numFmtId="49" fontId="24" fillId="0" borderId="0" xfId="288" applyNumberFormat="1" applyFont="1" applyFill="1">
      <alignment/>
      <protection/>
    </xf>
    <xf numFmtId="49" fontId="6" fillId="0" borderId="25" xfId="288" applyNumberFormat="1" applyFont="1" applyFill="1" applyBorder="1" applyAlignment="1">
      <alignment horizontal="center" vertical="center" wrapText="1"/>
      <protection/>
    </xf>
    <xf numFmtId="49" fontId="19" fillId="0" borderId="20" xfId="288" applyNumberFormat="1" applyFont="1" applyFill="1" applyBorder="1" applyAlignment="1">
      <alignment horizontal="center" vertical="center"/>
      <protection/>
    </xf>
    <xf numFmtId="49" fontId="19" fillId="0" borderId="20" xfId="288" applyNumberFormat="1" applyFont="1" applyBorder="1" applyAlignment="1">
      <alignment horizontal="center" vertical="center"/>
      <protection/>
    </xf>
    <xf numFmtId="49" fontId="5" fillId="0" borderId="0" xfId="288" applyNumberFormat="1" applyFont="1" applyAlignment="1">
      <alignment vertical="center"/>
      <protection/>
    </xf>
    <xf numFmtId="3" fontId="29" fillId="3" borderId="20" xfId="288" applyNumberFormat="1" applyFont="1" applyFill="1" applyBorder="1" applyAlignment="1">
      <alignment horizontal="center" vertical="center"/>
      <protection/>
    </xf>
    <xf numFmtId="3" fontId="69" fillId="3" borderId="20" xfId="288" applyNumberFormat="1" applyFont="1" applyFill="1" applyBorder="1" applyAlignment="1">
      <alignment horizontal="center" vertical="center"/>
      <protection/>
    </xf>
    <xf numFmtId="3" fontId="29" fillId="4" borderId="20" xfId="288" applyNumberFormat="1" applyFont="1" applyFill="1" applyBorder="1" applyAlignment="1">
      <alignment horizontal="center" vertical="center"/>
      <protection/>
    </xf>
    <xf numFmtId="3" fontId="6" fillId="44" borderId="20" xfId="288" applyNumberFormat="1" applyFont="1" applyFill="1" applyBorder="1" applyAlignment="1">
      <alignment horizontal="center" vertical="center"/>
      <protection/>
    </xf>
    <xf numFmtId="49" fontId="6" fillId="0" borderId="20" xfId="288" applyNumberFormat="1" applyFont="1" applyBorder="1" applyAlignment="1">
      <alignment horizontal="center" vertical="center"/>
      <protection/>
    </xf>
    <xf numFmtId="3" fontId="5" fillId="47" borderId="20" xfId="288" applyNumberFormat="1" applyFont="1" applyFill="1" applyBorder="1" applyAlignment="1">
      <alignment horizontal="center" vertical="center"/>
      <protection/>
    </xf>
    <xf numFmtId="49" fontId="6" fillId="0" borderId="23" xfId="288" applyNumberFormat="1" applyFont="1" applyBorder="1" applyAlignment="1">
      <alignment horizontal="center" vertical="center"/>
      <protection/>
    </xf>
    <xf numFmtId="49" fontId="5" fillId="0" borderId="23" xfId="288" applyNumberFormat="1" applyFont="1" applyBorder="1" applyAlignment="1">
      <alignment horizontal="center" vertical="center"/>
      <protection/>
    </xf>
    <xf numFmtId="3" fontId="5" fillId="0" borderId="20" xfId="288" applyNumberFormat="1" applyFont="1" applyBorder="1" applyAlignment="1">
      <alignment horizontal="center" vertical="center"/>
      <protection/>
    </xf>
    <xf numFmtId="49" fontId="87" fillId="0" borderId="0" xfId="288" applyNumberFormat="1" applyFont="1">
      <alignment/>
      <protection/>
    </xf>
    <xf numFmtId="49" fontId="26" fillId="0" borderId="0" xfId="288" applyNumberFormat="1">
      <alignment/>
      <protection/>
    </xf>
    <xf numFmtId="49" fontId="28" fillId="0" borderId="0" xfId="288" applyNumberFormat="1" applyFont="1" applyBorder="1" applyAlignment="1">
      <alignment wrapText="1"/>
      <protection/>
    </xf>
    <xf numFmtId="49" fontId="21" fillId="0" borderId="0" xfId="288" applyNumberFormat="1" applyFont="1">
      <alignment/>
      <protection/>
    </xf>
    <xf numFmtId="49" fontId="31" fillId="0" borderId="0" xfId="288" applyNumberFormat="1" applyFont="1">
      <alignment/>
      <protection/>
    </xf>
    <xf numFmtId="49" fontId="31" fillId="0" borderId="0" xfId="288" applyNumberFormat="1" applyFont="1" applyAlignment="1">
      <alignment horizontal="center"/>
      <protection/>
    </xf>
    <xf numFmtId="0" fontId="4" fillId="0" borderId="0" xfId="288" applyNumberFormat="1" applyFont="1" applyAlignment="1">
      <alignment horizontal="left"/>
      <protection/>
    </xf>
    <xf numFmtId="0" fontId="5" fillId="0" borderId="0" xfId="288" applyFont="1" applyAlignment="1">
      <alignment/>
      <protection/>
    </xf>
    <xf numFmtId="3" fontId="5" fillId="0" borderId="0" xfId="288" applyNumberFormat="1" applyFont="1">
      <alignment/>
      <protection/>
    </xf>
    <xf numFmtId="0" fontId="7" fillId="0" borderId="0" xfId="288" applyFont="1" applyBorder="1" applyAlignment="1">
      <alignment/>
      <protection/>
    </xf>
    <xf numFmtId="0" fontId="26" fillId="0" borderId="24" xfId="288" applyFont="1" applyBorder="1">
      <alignment/>
      <protection/>
    </xf>
    <xf numFmtId="0" fontId="26" fillId="0" borderId="0" xfId="288" applyFont="1" applyBorder="1">
      <alignment/>
      <protection/>
    </xf>
    <xf numFmtId="0" fontId="12" fillId="0" borderId="20" xfId="288" applyFont="1" applyBorder="1" applyAlignment="1">
      <alignment horizontal="center" vertical="center" wrapText="1"/>
      <protection/>
    </xf>
    <xf numFmtId="0" fontId="19" fillId="0" borderId="23" xfId="288" applyFont="1" applyFill="1" applyBorder="1" applyAlignment="1">
      <alignment horizontal="center" vertical="center"/>
      <protection/>
    </xf>
    <xf numFmtId="0" fontId="19" fillId="0" borderId="20" xfId="288" applyFont="1" applyFill="1" applyBorder="1" applyAlignment="1">
      <alignment horizontal="center" vertical="center"/>
      <protection/>
    </xf>
    <xf numFmtId="0" fontId="19" fillId="0" borderId="20" xfId="288" applyFont="1" applyBorder="1" applyAlignment="1">
      <alignment horizontal="center" vertical="center"/>
      <protection/>
    </xf>
    <xf numFmtId="3" fontId="20" fillId="3" borderId="20" xfId="288" applyNumberFormat="1" applyFont="1" applyFill="1" applyBorder="1" applyAlignment="1">
      <alignment horizontal="center" vertical="center"/>
      <protection/>
    </xf>
    <xf numFmtId="3" fontId="35" fillId="3" borderId="20" xfId="288" applyNumberFormat="1" applyFont="1" applyFill="1" applyBorder="1" applyAlignment="1">
      <alignment horizontal="center" vertical="center"/>
      <protection/>
    </xf>
    <xf numFmtId="3" fontId="3" fillId="44" borderId="23" xfId="288" applyNumberFormat="1" applyFont="1" applyFill="1" applyBorder="1" applyAlignment="1">
      <alignment horizontal="center" vertical="center"/>
      <protection/>
    </xf>
    <xf numFmtId="3" fontId="0" fillId="48" borderId="23" xfId="288" applyNumberFormat="1" applyFont="1" applyFill="1" applyBorder="1" applyAlignment="1">
      <alignment horizontal="center" vertical="center"/>
      <protection/>
    </xf>
    <xf numFmtId="3" fontId="0" fillId="0" borderId="20" xfId="288" applyNumberFormat="1" applyFont="1" applyBorder="1" applyAlignment="1">
      <alignment horizontal="center" vertical="center"/>
      <protection/>
    </xf>
    <xf numFmtId="3" fontId="0" fillId="0" borderId="26" xfId="288" applyNumberFormat="1" applyFont="1" applyBorder="1" applyAlignment="1">
      <alignment horizontal="center" vertical="center"/>
      <protection/>
    </xf>
    <xf numFmtId="0" fontId="6" fillId="0" borderId="23" xfId="288" applyFont="1" applyBorder="1" applyAlignment="1">
      <alignment horizontal="center" vertical="center"/>
      <protection/>
    </xf>
    <xf numFmtId="3" fontId="0" fillId="44" borderId="23" xfId="288" applyNumberFormat="1" applyFont="1" applyFill="1" applyBorder="1" applyAlignment="1">
      <alignment horizontal="center" vertical="center"/>
      <protection/>
    </xf>
    <xf numFmtId="3" fontId="0" fillId="47" borderId="20" xfId="288" applyNumberFormat="1" applyFont="1" applyFill="1" applyBorder="1" applyAlignment="1">
      <alignment horizontal="center" vertical="center"/>
      <protection/>
    </xf>
    <xf numFmtId="3" fontId="0" fillId="47" borderId="26" xfId="288" applyNumberFormat="1" applyFont="1" applyFill="1" applyBorder="1" applyAlignment="1">
      <alignment horizontal="center" vertical="center"/>
      <protection/>
    </xf>
    <xf numFmtId="0" fontId="28" fillId="0" borderId="0" xfId="288" applyNumberFormat="1" applyFont="1" applyBorder="1" applyAlignment="1">
      <alignment/>
      <protection/>
    </xf>
    <xf numFmtId="0" fontId="88" fillId="0" borderId="0" xfId="288" applyFont="1">
      <alignment/>
      <protection/>
    </xf>
    <xf numFmtId="0" fontId="16" fillId="0" borderId="0" xfId="288" applyFont="1">
      <alignment/>
      <protection/>
    </xf>
    <xf numFmtId="0" fontId="27" fillId="0" borderId="0" xfId="288" applyFont="1">
      <alignment/>
      <protection/>
    </xf>
    <xf numFmtId="0" fontId="13" fillId="0" borderId="0" xfId="288" applyFont="1">
      <alignment/>
      <protection/>
    </xf>
    <xf numFmtId="49" fontId="13" fillId="0" borderId="0" xfId="288" applyNumberFormat="1" applyFont="1">
      <alignment/>
      <protection/>
    </xf>
    <xf numFmtId="0" fontId="81" fillId="0" borderId="0" xfId="288" applyFont="1">
      <alignment/>
      <protection/>
    </xf>
    <xf numFmtId="49" fontId="18" fillId="0" borderId="0" xfId="288" applyNumberFormat="1" applyFont="1" applyBorder="1" applyAlignment="1">
      <alignment/>
      <protection/>
    </xf>
    <xf numFmtId="49" fontId="26" fillId="0" borderId="0" xfId="288" applyNumberFormat="1" applyFont="1" applyAlignment="1">
      <alignment horizontal="center"/>
      <protection/>
    </xf>
    <xf numFmtId="3" fontId="19" fillId="47" borderId="22" xfId="288" applyNumberFormat="1" applyFont="1" applyFill="1" applyBorder="1" applyAlignment="1">
      <alignment horizontal="center"/>
      <protection/>
    </xf>
    <xf numFmtId="49" fontId="5" fillId="0" borderId="22" xfId="288" applyNumberFormat="1" applyFont="1" applyBorder="1" applyAlignment="1">
      <alignment/>
      <protection/>
    </xf>
    <xf numFmtId="49" fontId="26" fillId="0" borderId="0" xfId="288" applyNumberFormat="1" applyFill="1">
      <alignment/>
      <protection/>
    </xf>
    <xf numFmtId="49" fontId="26" fillId="0" borderId="0" xfId="288" applyNumberFormat="1" applyFill="1" applyAlignment="1">
      <alignment vertical="center" wrapText="1"/>
      <protection/>
    </xf>
    <xf numFmtId="49" fontId="26" fillId="0" borderId="0" xfId="288" applyNumberFormat="1" applyAlignment="1">
      <alignment vertical="center"/>
      <protection/>
    </xf>
    <xf numFmtId="3" fontId="5" fillId="44" borderId="20" xfId="288" applyNumberFormat="1" applyFont="1" applyFill="1" applyBorder="1" applyAlignment="1">
      <alignment horizontal="center" vertical="center"/>
      <protection/>
    </xf>
    <xf numFmtId="3" fontId="26" fillId="0" borderId="20" xfId="288" applyNumberFormat="1" applyFont="1" applyBorder="1" applyAlignment="1">
      <alignment horizontal="center" vertical="center"/>
      <protection/>
    </xf>
    <xf numFmtId="0" fontId="5" fillId="0" borderId="20" xfId="288" applyFont="1" applyBorder="1" applyAlignment="1">
      <alignment horizontal="center" vertical="center"/>
      <protection/>
    </xf>
    <xf numFmtId="3" fontId="5" fillId="0" borderId="20" xfId="288" applyNumberFormat="1" applyFont="1" applyFill="1" applyBorder="1" applyAlignment="1">
      <alignment horizontal="center" vertical="center"/>
      <protection/>
    </xf>
    <xf numFmtId="3" fontId="26" fillId="0" borderId="20" xfId="288" applyNumberFormat="1" applyFont="1" applyFill="1" applyBorder="1" applyAlignment="1">
      <alignment horizontal="center" vertical="center"/>
      <protection/>
    </xf>
    <xf numFmtId="49" fontId="26" fillId="0" borderId="0" xfId="288" applyNumberFormat="1" applyAlignment="1">
      <alignment horizontal="center"/>
      <protection/>
    </xf>
    <xf numFmtId="49" fontId="72" fillId="0" borderId="0" xfId="288" applyNumberFormat="1" applyFont="1" applyAlignment="1">
      <alignment horizontal="left"/>
      <protection/>
    </xf>
    <xf numFmtId="49" fontId="31" fillId="0" borderId="0" xfId="288" applyNumberFormat="1" applyFont="1" applyAlignment="1">
      <alignment/>
      <protection/>
    </xf>
    <xf numFmtId="49" fontId="3" fillId="47" borderId="0" xfId="288" applyNumberFormat="1" applyFont="1" applyFill="1" applyBorder="1" applyAlignment="1">
      <alignment/>
      <protection/>
    </xf>
    <xf numFmtId="49" fontId="3" fillId="0" borderId="0" xfId="288" applyNumberFormat="1" applyFont="1" applyAlignment="1">
      <alignment/>
      <protection/>
    </xf>
    <xf numFmtId="49" fontId="3" fillId="0" borderId="0" xfId="288" applyNumberFormat="1" applyFont="1" applyBorder="1" applyAlignment="1">
      <alignment/>
      <protection/>
    </xf>
    <xf numFmtId="49" fontId="6" fillId="0" borderId="22" xfId="288" applyNumberFormat="1" applyFont="1" applyBorder="1" applyAlignment="1">
      <alignment/>
      <protection/>
    </xf>
    <xf numFmtId="3" fontId="19" fillId="0" borderId="20" xfId="288" applyNumberFormat="1" applyFont="1" applyBorder="1" applyAlignment="1">
      <alignment horizontal="center" vertical="center"/>
      <protection/>
    </xf>
    <xf numFmtId="49" fontId="26" fillId="47" borderId="0" xfId="288" applyNumberFormat="1" applyFont="1" applyFill="1" applyAlignment="1">
      <alignment vertical="center"/>
      <protection/>
    </xf>
    <xf numFmtId="3" fontId="26" fillId="47" borderId="20" xfId="288" applyNumberFormat="1" applyFont="1" applyFill="1" applyBorder="1" applyAlignment="1">
      <alignment horizontal="center" vertical="center"/>
      <protection/>
    </xf>
    <xf numFmtId="3" fontId="91" fillId="0" borderId="20" xfId="288" applyNumberFormat="1" applyFont="1" applyBorder="1" applyAlignment="1">
      <alignment horizontal="center" vertical="center"/>
      <protection/>
    </xf>
    <xf numFmtId="0" fontId="5" fillId="0" borderId="19" xfId="288" applyFont="1" applyFill="1" applyBorder="1" applyAlignment="1">
      <alignment horizontal="center" vertical="center"/>
      <protection/>
    </xf>
    <xf numFmtId="49" fontId="6" fillId="0" borderId="19" xfId="286" applyNumberFormat="1" applyFont="1" applyFill="1" applyBorder="1" applyAlignment="1">
      <alignment horizontal="left" vertical="center"/>
      <protection/>
    </xf>
    <xf numFmtId="3" fontId="5" fillId="0" borderId="19" xfId="288" applyNumberFormat="1" applyFont="1" applyFill="1" applyBorder="1" applyAlignment="1">
      <alignment horizontal="center" vertical="center"/>
      <protection/>
    </xf>
    <xf numFmtId="3" fontId="19" fillId="0" borderId="19" xfId="288" applyNumberFormat="1" applyFont="1" applyFill="1" applyBorder="1" applyAlignment="1">
      <alignment horizontal="center" vertical="center"/>
      <protection/>
    </xf>
    <xf numFmtId="3" fontId="26" fillId="0" borderId="19" xfId="288" applyNumberFormat="1" applyFont="1" applyFill="1" applyBorder="1" applyAlignment="1">
      <alignment vertical="center"/>
      <protection/>
    </xf>
    <xf numFmtId="3" fontId="92" fillId="0" borderId="19" xfId="288" applyNumberFormat="1" applyFont="1" applyFill="1" applyBorder="1" applyAlignment="1">
      <alignment vertical="center"/>
      <protection/>
    </xf>
    <xf numFmtId="49" fontId="31" fillId="0" borderId="0" xfId="288" applyNumberFormat="1" applyFont="1" applyBorder="1" applyAlignment="1">
      <alignment/>
      <protection/>
    </xf>
    <xf numFmtId="49" fontId="28" fillId="0" borderId="0" xfId="288" applyNumberFormat="1" applyFont="1" applyBorder="1" applyAlignment="1">
      <alignment horizontal="center"/>
      <protection/>
    </xf>
    <xf numFmtId="49" fontId="28" fillId="0" borderId="0" xfId="288" applyNumberFormat="1" applyFont="1" applyAlignment="1">
      <alignment/>
      <protection/>
    </xf>
    <xf numFmtId="0" fontId="5" fillId="47" borderId="0" xfId="288" applyFont="1" applyFill="1" applyBorder="1" applyAlignment="1">
      <alignment/>
      <protection/>
    </xf>
    <xf numFmtId="49" fontId="93" fillId="0" borderId="0" xfId="288" applyNumberFormat="1" applyFont="1">
      <alignment/>
      <protection/>
    </xf>
    <xf numFmtId="49" fontId="94" fillId="0" borderId="0" xfId="288" applyNumberFormat="1" applyFont="1">
      <alignment/>
      <protection/>
    </xf>
    <xf numFmtId="49" fontId="95" fillId="0" borderId="0" xfId="288" applyNumberFormat="1" applyFont="1" applyAlignment="1">
      <alignment horizontal="center"/>
      <protection/>
    </xf>
    <xf numFmtId="49" fontId="25" fillId="47" borderId="0" xfId="286" applyNumberFormat="1" applyFont="1" applyFill="1" applyAlignment="1">
      <alignment/>
      <protection/>
    </xf>
    <xf numFmtId="49" fontId="80" fillId="0" borderId="0" xfId="288" applyNumberFormat="1" applyFont="1">
      <alignment/>
      <protection/>
    </xf>
    <xf numFmtId="49" fontId="31" fillId="0" borderId="0" xfId="288" applyNumberFormat="1" applyFont="1" applyBorder="1" applyAlignment="1">
      <alignment wrapText="1"/>
      <protection/>
    </xf>
    <xf numFmtId="49" fontId="83" fillId="0" borderId="0" xfId="288" applyNumberFormat="1" applyFont="1">
      <alignment/>
      <protection/>
    </xf>
    <xf numFmtId="49" fontId="78" fillId="0" borderId="0" xfId="288" applyNumberFormat="1" applyFont="1">
      <alignment/>
      <protection/>
    </xf>
    <xf numFmtId="49" fontId="14" fillId="0" borderId="0" xfId="288" applyNumberFormat="1" applyFont="1" applyFill="1" applyAlignment="1">
      <alignment wrapText="1"/>
      <protection/>
    </xf>
    <xf numFmtId="49" fontId="0" fillId="0" borderId="0" xfId="288" applyNumberFormat="1" applyFont="1" applyFill="1" applyBorder="1" applyAlignment="1">
      <alignment/>
      <protection/>
    </xf>
    <xf numFmtId="49" fontId="3" fillId="0" borderId="0" xfId="288" applyNumberFormat="1" applyFont="1" applyFill="1" applyBorder="1" applyAlignment="1">
      <alignment/>
      <protection/>
    </xf>
    <xf numFmtId="49" fontId="96" fillId="0" borderId="0" xfId="288" applyNumberFormat="1" applyFont="1" applyFill="1">
      <alignment/>
      <protection/>
    </xf>
    <xf numFmtId="49" fontId="26" fillId="0" borderId="0" xfId="288" applyNumberFormat="1" applyFont="1" applyFill="1" applyAlignment="1">
      <alignment horizontal="center"/>
      <protection/>
    </xf>
    <xf numFmtId="49" fontId="19" fillId="0" borderId="0" xfId="288" applyNumberFormat="1" applyFont="1" applyFill="1" applyBorder="1" applyAlignment="1">
      <alignment/>
      <protection/>
    </xf>
    <xf numFmtId="49" fontId="6" fillId="0" borderId="0" xfId="288" applyNumberFormat="1" applyFont="1" applyFill="1" applyBorder="1" applyAlignment="1">
      <alignment/>
      <protection/>
    </xf>
    <xf numFmtId="49" fontId="82" fillId="0" borderId="0" xfId="288" applyNumberFormat="1" applyFont="1" applyFill="1">
      <alignment/>
      <protection/>
    </xf>
    <xf numFmtId="49" fontId="82" fillId="0" borderId="0" xfId="288" applyNumberFormat="1" applyFont="1" applyFill="1" applyAlignment="1">
      <alignment/>
      <protection/>
    </xf>
    <xf numFmtId="49" fontId="19" fillId="0" borderId="27" xfId="288" applyNumberFormat="1" applyFont="1" applyFill="1" applyBorder="1" applyAlignment="1">
      <alignment horizontal="center" vertical="center"/>
      <protection/>
    </xf>
    <xf numFmtId="3" fontId="6" fillId="44" borderId="27" xfId="288" applyNumberFormat="1" applyFont="1" applyFill="1" applyBorder="1" applyAlignment="1">
      <alignment horizontal="center" vertical="center"/>
      <protection/>
    </xf>
    <xf numFmtId="3" fontId="6" fillId="44" borderId="23" xfId="288" applyNumberFormat="1" applyFont="1" applyFill="1" applyBorder="1" applyAlignment="1">
      <alignment horizontal="center" vertical="center"/>
      <protection/>
    </xf>
    <xf numFmtId="49" fontId="3" fillId="0" borderId="0" xfId="288" applyNumberFormat="1" applyFont="1" applyAlignment="1">
      <alignment horizontal="center"/>
      <protection/>
    </xf>
    <xf numFmtId="49" fontId="25" fillId="0" borderId="0" xfId="288" applyNumberFormat="1" applyFont="1">
      <alignment/>
      <protection/>
    </xf>
    <xf numFmtId="49" fontId="3" fillId="0" borderId="0" xfId="288" applyNumberFormat="1" applyFont="1">
      <alignment/>
      <protection/>
    </xf>
    <xf numFmtId="49" fontId="28" fillId="0" borderId="0" xfId="288" applyNumberFormat="1" applyFont="1">
      <alignment/>
      <protection/>
    </xf>
    <xf numFmtId="3" fontId="3" fillId="47" borderId="0" xfId="288" applyNumberFormat="1" applyFont="1" applyFill="1" applyBorder="1" applyAlignment="1">
      <alignment/>
      <protection/>
    </xf>
    <xf numFmtId="0" fontId="3" fillId="0" borderId="0" xfId="288" applyFont="1">
      <alignment/>
      <protection/>
    </xf>
    <xf numFmtId="0" fontId="4" fillId="0" borderId="0" xfId="288" applyFont="1" applyBorder="1" applyAlignment="1">
      <alignment horizontal="left"/>
      <protection/>
    </xf>
    <xf numFmtId="3" fontId="0" fillId="0" borderId="0" xfId="288" applyNumberFormat="1" applyFont="1" applyAlignment="1">
      <alignment horizontal="left"/>
      <protection/>
    </xf>
    <xf numFmtId="0" fontId="13" fillId="0" borderId="0" xfId="288" applyFont="1" applyBorder="1" applyAlignment="1">
      <alignment/>
      <protection/>
    </xf>
    <xf numFmtId="0" fontId="7" fillId="0" borderId="20" xfId="288" applyFont="1" applyFill="1" applyBorder="1" applyAlignment="1">
      <alignment horizontal="center" vertical="center" wrapText="1"/>
      <protection/>
    </xf>
    <xf numFmtId="0" fontId="3" fillId="0" borderId="0" xfId="288" applyFont="1" applyFill="1" applyBorder="1">
      <alignment/>
      <protection/>
    </xf>
    <xf numFmtId="0" fontId="3" fillId="0" borderId="0" xfId="288" applyFont="1" applyFill="1">
      <alignment/>
      <protection/>
    </xf>
    <xf numFmtId="3" fontId="18" fillId="0" borderId="20" xfId="288" applyNumberFormat="1" applyFont="1" applyBorder="1" applyAlignment="1">
      <alignment horizontal="center" vertical="center"/>
      <protection/>
    </xf>
    <xf numFmtId="0" fontId="0" fillId="0" borderId="0" xfId="288" applyFont="1" applyAlignment="1">
      <alignment horizontal="center" vertical="center"/>
      <protection/>
    </xf>
    <xf numFmtId="3" fontId="4" fillId="44" borderId="20" xfId="288" applyNumberFormat="1" applyFont="1" applyFill="1" applyBorder="1" applyAlignment="1">
      <alignment horizontal="center" vertical="center"/>
      <protection/>
    </xf>
    <xf numFmtId="0" fontId="3" fillId="0" borderId="0" xfId="288" applyFont="1" applyAlignment="1">
      <alignment vertical="center"/>
      <protection/>
    </xf>
    <xf numFmtId="9" fontId="3" fillId="0" borderId="0" xfId="299" applyFont="1" applyAlignment="1">
      <alignment vertical="center"/>
    </xf>
    <xf numFmtId="0" fontId="3" fillId="0" borderId="0" xfId="288" applyFont="1" applyAlignment="1">
      <alignment horizontal="center"/>
      <protection/>
    </xf>
    <xf numFmtId="0" fontId="25" fillId="0" borderId="0" xfId="288" applyFont="1">
      <alignment/>
      <protection/>
    </xf>
    <xf numFmtId="0" fontId="72" fillId="0" borderId="0" xfId="288" applyFont="1" applyAlignment="1">
      <alignment horizontal="center"/>
      <protection/>
    </xf>
    <xf numFmtId="49" fontId="52" fillId="0" borderId="0" xfId="288" applyNumberFormat="1" applyFont="1">
      <alignment/>
      <protection/>
    </xf>
    <xf numFmtId="49" fontId="97" fillId="0" borderId="0" xfId="288" applyNumberFormat="1" applyFont="1" applyBorder="1" applyAlignment="1">
      <alignment wrapText="1"/>
      <protection/>
    </xf>
    <xf numFmtId="0" fontId="31" fillId="0" borderId="0" xfId="288"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2" fillId="47" borderId="28" xfId="0" applyNumberFormat="1" applyFont="1" applyFill="1" applyBorder="1" applyAlignment="1">
      <alignment/>
    </xf>
    <xf numFmtId="3" fontId="4" fillId="47" borderId="25" xfId="284"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4" fillId="47" borderId="28" xfId="284"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4" fillId="47" borderId="29" xfId="284"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28" fillId="47" borderId="20" xfId="0" applyNumberFormat="1" applyFont="1" applyFill="1" applyBorder="1" applyAlignment="1">
      <alignment/>
    </xf>
    <xf numFmtId="3" fontId="28" fillId="47" borderId="20" xfId="284" applyNumberFormat="1" applyFont="1" applyFill="1" applyBorder="1" applyAlignment="1" applyProtection="1">
      <alignment horizontal="center" vertical="center"/>
      <protection/>
    </xf>
    <xf numFmtId="49" fontId="31" fillId="47" borderId="20" xfId="0" applyNumberFormat="1" applyFont="1" applyFill="1" applyBorder="1" applyAlignment="1">
      <alignment/>
    </xf>
    <xf numFmtId="3" fontId="31" fillId="47" borderId="20" xfId="284" applyNumberFormat="1" applyFont="1" applyFill="1" applyBorder="1" applyAlignment="1" applyProtection="1">
      <alignment horizontal="center" vertical="center"/>
      <protection/>
    </xf>
    <xf numFmtId="49" fontId="28" fillId="47" borderId="20" xfId="0" applyNumberFormat="1" applyFont="1" applyFill="1" applyBorder="1" applyAlignment="1">
      <alignment/>
    </xf>
    <xf numFmtId="49" fontId="52" fillId="47" borderId="20" xfId="0" applyNumberFormat="1" applyFont="1" applyFill="1" applyBorder="1" applyAlignment="1">
      <alignment/>
    </xf>
    <xf numFmtId="3" fontId="52" fillId="47" borderId="20" xfId="284" applyNumberFormat="1" applyFont="1" applyFill="1" applyBorder="1" applyAlignment="1" applyProtection="1">
      <alignment horizontal="center" vertical="center"/>
      <protection/>
    </xf>
    <xf numFmtId="10" fontId="28" fillId="0" borderId="20" xfId="162" applyNumberFormat="1" applyFont="1" applyFill="1" applyBorder="1" applyAlignment="1">
      <alignment horizontal="center" vertical="center"/>
      <protection/>
    </xf>
    <xf numFmtId="10" fontId="52" fillId="0" borderId="20" xfId="162" applyNumberFormat="1" applyFont="1" applyFill="1" applyBorder="1" applyAlignment="1">
      <alignment horizontal="center" vertical="center"/>
      <protection/>
    </xf>
    <xf numFmtId="49" fontId="0" fillId="47" borderId="20" xfId="0" applyNumberFormat="1" applyFill="1" applyBorder="1" applyAlignment="1">
      <alignment/>
    </xf>
    <xf numFmtId="49" fontId="20" fillId="47" borderId="20" xfId="0" applyNumberFormat="1" applyFont="1" applyFill="1" applyBorder="1" applyAlignment="1">
      <alignment/>
    </xf>
    <xf numFmtId="49" fontId="25" fillId="47" borderId="34" xfId="0" applyNumberFormat="1" applyFont="1" applyFill="1" applyBorder="1" applyAlignment="1">
      <alignment/>
    </xf>
    <xf numFmtId="49" fontId="25" fillId="47" borderId="32" xfId="0" applyNumberFormat="1" applyFont="1" applyFill="1" applyBorder="1" applyAlignment="1">
      <alignment/>
    </xf>
    <xf numFmtId="49" fontId="57" fillId="47" borderId="20" xfId="0" applyNumberFormat="1" applyFont="1" applyFill="1" applyBorder="1" applyAlignment="1">
      <alignment/>
    </xf>
    <xf numFmtId="10" fontId="57" fillId="0" borderId="20" xfId="162" applyNumberFormat="1" applyFont="1" applyFill="1" applyBorder="1" applyAlignment="1">
      <alignment horizontal="center" vertical="center"/>
      <protection/>
    </xf>
    <xf numFmtId="3" fontId="57" fillId="47" borderId="20" xfId="284" applyNumberFormat="1" applyFont="1" applyFill="1" applyBorder="1" applyAlignment="1" applyProtection="1">
      <alignment horizontal="center" vertical="center"/>
      <protection/>
    </xf>
    <xf numFmtId="49" fontId="100" fillId="47" borderId="20" xfId="0" applyNumberFormat="1" applyFont="1" applyFill="1" applyBorder="1" applyAlignment="1">
      <alignment/>
    </xf>
    <xf numFmtId="49" fontId="57" fillId="47" borderId="35" xfId="0" applyNumberFormat="1" applyFont="1" applyFill="1" applyBorder="1" applyAlignment="1">
      <alignment/>
    </xf>
    <xf numFmtId="3" fontId="57" fillId="47" borderId="19" xfId="284" applyNumberFormat="1" applyFont="1" applyFill="1" applyBorder="1" applyAlignment="1" applyProtection="1">
      <alignment horizontal="center" vertical="center"/>
      <protection/>
    </xf>
    <xf numFmtId="10" fontId="57" fillId="0" borderId="36" xfId="162" applyNumberFormat="1" applyFont="1" applyFill="1" applyBorder="1" applyAlignment="1">
      <alignment horizontal="center" vertical="center"/>
      <protection/>
    </xf>
    <xf numFmtId="49" fontId="0" fillId="47" borderId="27" xfId="0" applyNumberFormat="1" applyFont="1" applyFill="1" applyBorder="1" applyAlignment="1">
      <alignment/>
    </xf>
    <xf numFmtId="3" fontId="4" fillId="47" borderId="22" xfId="284" applyNumberFormat="1" applyFont="1" applyFill="1" applyBorder="1" applyAlignment="1" applyProtection="1">
      <alignment horizontal="center" vertical="center"/>
      <protection/>
    </xf>
    <xf numFmtId="3" fontId="4" fillId="47" borderId="37" xfId="284" applyNumberFormat="1" applyFont="1" applyFill="1" applyBorder="1" applyAlignment="1" applyProtection="1">
      <alignment horizontal="center" vertical="center"/>
      <protection/>
    </xf>
    <xf numFmtId="49" fontId="35" fillId="47" borderId="20" xfId="0" applyNumberFormat="1" applyFont="1" applyFill="1" applyBorder="1" applyAlignment="1">
      <alignment/>
    </xf>
    <xf numFmtId="49" fontId="4" fillId="0" borderId="0" xfId="0" applyNumberFormat="1" applyFont="1" applyFill="1" applyBorder="1" applyAlignment="1">
      <alignment/>
    </xf>
    <xf numFmtId="49" fontId="28" fillId="0" borderId="0" xfId="0" applyNumberFormat="1" applyFont="1" applyFill="1" applyAlignment="1">
      <alignment/>
    </xf>
    <xf numFmtId="0" fontId="0" fillId="0" borderId="20" xfId="0" applyBorder="1" applyAlignment="1">
      <alignment/>
    </xf>
    <xf numFmtId="0" fontId="0" fillId="49" borderId="20" xfId="0" applyFill="1" applyBorder="1" applyAlignment="1">
      <alignment/>
    </xf>
    <xf numFmtId="0" fontId="0" fillId="0" borderId="38" xfId="0" applyFill="1" applyBorder="1" applyAlignment="1">
      <alignment/>
    </xf>
    <xf numFmtId="0" fontId="20" fillId="49" borderId="20" xfId="0" applyFont="1" applyFill="1" applyBorder="1" applyAlignment="1">
      <alignment/>
    </xf>
    <xf numFmtId="0" fontId="0" fillId="49" borderId="20" xfId="0" applyFont="1" applyFill="1" applyBorder="1" applyAlignment="1">
      <alignment/>
    </xf>
    <xf numFmtId="49" fontId="4" fillId="0" borderId="0" xfId="0" applyNumberFormat="1" applyFont="1" applyFill="1" applyAlignment="1">
      <alignment horizontal="left"/>
    </xf>
    <xf numFmtId="49" fontId="28" fillId="0" borderId="0" xfId="0" applyNumberFormat="1" applyFont="1" applyFill="1" applyAlignment="1">
      <alignment horizontal="left"/>
    </xf>
    <xf numFmtId="49" fontId="4" fillId="49" borderId="0" xfId="0" applyNumberFormat="1" applyFont="1" applyFill="1" applyAlignment="1">
      <alignment/>
    </xf>
    <xf numFmtId="0" fontId="20" fillId="49" borderId="20" xfId="0" applyFont="1" applyFill="1" applyBorder="1" applyAlignment="1">
      <alignment wrapText="1"/>
    </xf>
    <xf numFmtId="0" fontId="0" fillId="49" borderId="38" xfId="0" applyFill="1" applyBorder="1" applyAlignment="1">
      <alignment/>
    </xf>
    <xf numFmtId="210" fontId="4" fillId="0" borderId="0" xfId="0" applyNumberFormat="1" applyFont="1" applyFill="1" applyAlignment="1">
      <alignment/>
    </xf>
    <xf numFmtId="49" fontId="32" fillId="0" borderId="0" xfId="0" applyNumberFormat="1" applyFont="1" applyFill="1" applyAlignment="1">
      <alignment/>
    </xf>
    <xf numFmtId="49" fontId="52" fillId="0" borderId="0" xfId="0" applyNumberFormat="1" applyFont="1" applyFill="1" applyAlignment="1">
      <alignment/>
    </xf>
    <xf numFmtId="4" fontId="4" fillId="0" borderId="0" xfId="0" applyNumberFormat="1" applyFont="1" applyFill="1" applyAlignment="1">
      <alignment/>
    </xf>
    <xf numFmtId="4" fontId="4" fillId="0" borderId="0" xfId="0" applyNumberFormat="1" applyFont="1" applyFill="1" applyBorder="1" applyAlignment="1">
      <alignment/>
    </xf>
    <xf numFmtId="4" fontId="4" fillId="49" borderId="0" xfId="0" applyNumberFormat="1" applyFont="1" applyFill="1" applyAlignment="1">
      <alignment/>
    </xf>
    <xf numFmtId="49" fontId="5" fillId="0" borderId="0" xfId="0" applyNumberFormat="1" applyFont="1" applyFill="1" applyAlignment="1">
      <alignment horizontal="left"/>
    </xf>
    <xf numFmtId="0" fontId="8" fillId="49" borderId="20" xfId="290" applyFont="1" applyFill="1" applyBorder="1" applyAlignment="1" applyProtection="1">
      <alignment horizontal="center" vertical="center" wrapText="1"/>
      <protection/>
    </xf>
    <xf numFmtId="49" fontId="24" fillId="49" borderId="0" xfId="0" applyNumberFormat="1" applyFont="1" applyFill="1" applyAlignment="1">
      <alignment horizontal="left"/>
    </xf>
    <xf numFmtId="210" fontId="0" fillId="49" borderId="0" xfId="0" applyNumberFormat="1" applyFont="1" applyFill="1" applyAlignment="1">
      <alignment horizontal="left"/>
    </xf>
    <xf numFmtId="4" fontId="8" fillId="49" borderId="20" xfId="291" applyNumberFormat="1" applyFont="1" applyFill="1" applyBorder="1" applyAlignment="1">
      <alignment vertical="center" wrapText="1"/>
      <protection/>
    </xf>
    <xf numFmtId="49" fontId="0" fillId="47" borderId="0" xfId="0" applyNumberFormat="1" applyFont="1" applyFill="1" applyAlignment="1">
      <alignment horizontal="left"/>
    </xf>
    <xf numFmtId="210" fontId="0" fillId="47" borderId="0" xfId="0" applyNumberFormat="1" applyFont="1" applyFill="1" applyAlignment="1">
      <alignment horizontal="left"/>
    </xf>
    <xf numFmtId="210" fontId="0" fillId="47" borderId="0" xfId="0" applyNumberFormat="1" applyFont="1" applyFill="1" applyBorder="1" applyAlignment="1">
      <alignment horizontal="left"/>
    </xf>
    <xf numFmtId="4" fontId="0" fillId="47" borderId="0" xfId="0" applyNumberFormat="1" applyFont="1" applyFill="1" applyBorder="1" applyAlignment="1">
      <alignment horizontal="left"/>
    </xf>
    <xf numFmtId="49" fontId="18" fillId="47" borderId="0" xfId="0" applyNumberFormat="1" applyFont="1" applyFill="1" applyAlignment="1">
      <alignment horizontal="left"/>
    </xf>
    <xf numFmtId="49" fontId="0" fillId="47" borderId="0" xfId="0" applyNumberFormat="1" applyFont="1" applyFill="1" applyBorder="1" applyAlignment="1">
      <alignment horizontal="left"/>
    </xf>
    <xf numFmtId="49" fontId="0" fillId="47" borderId="20" xfId="0" applyNumberFormat="1" applyFont="1" applyFill="1" applyBorder="1" applyAlignment="1">
      <alignment horizontal="left"/>
    </xf>
    <xf numFmtId="210" fontId="4" fillId="47" borderId="20" xfId="0" applyNumberFormat="1" applyFont="1" applyFill="1" applyBorder="1" applyAlignment="1" applyProtection="1">
      <alignment horizontal="center" vertical="center" wrapText="1"/>
      <protection/>
    </xf>
    <xf numFmtId="210" fontId="4" fillId="47" borderId="20" xfId="0" applyNumberFormat="1" applyFont="1" applyFill="1" applyBorder="1" applyAlignment="1">
      <alignment horizontal="center" vertical="center" wrapText="1"/>
    </xf>
    <xf numFmtId="210" fontId="30" fillId="47" borderId="20" xfId="0" applyNumberFormat="1" applyFont="1" applyFill="1" applyBorder="1" applyAlignment="1" applyProtection="1">
      <alignment horizontal="left" vertical="center"/>
      <protection/>
    </xf>
    <xf numFmtId="4" fontId="30" fillId="47" borderId="39" xfId="0" applyNumberFormat="1" applyFont="1" applyFill="1" applyBorder="1" applyAlignment="1" applyProtection="1">
      <alignment horizontal="left" vertical="center"/>
      <protection/>
    </xf>
    <xf numFmtId="49" fontId="24" fillId="47" borderId="0" xfId="0" applyNumberFormat="1" applyFont="1" applyFill="1" applyAlignment="1">
      <alignment horizontal="left"/>
    </xf>
    <xf numFmtId="210" fontId="8" fillId="47" borderId="20" xfId="292" applyNumberFormat="1" applyFont="1" applyFill="1" applyBorder="1" applyAlignment="1" applyProtection="1">
      <alignment horizontal="left" vertical="center"/>
      <protection/>
    </xf>
    <xf numFmtId="49" fontId="1" fillId="47" borderId="0" xfId="0" applyNumberFormat="1" applyFont="1" applyFill="1" applyBorder="1" applyAlignment="1">
      <alignment horizontal="left"/>
    </xf>
    <xf numFmtId="210" fontId="5" fillId="47" borderId="0" xfId="284" applyNumberFormat="1" applyFont="1" applyFill="1" applyBorder="1" applyAlignment="1" applyProtection="1">
      <alignment horizontal="left" vertical="center"/>
      <protection/>
    </xf>
    <xf numFmtId="210" fontId="28" fillId="47" borderId="0" xfId="0" applyNumberFormat="1" applyFont="1" applyFill="1" applyBorder="1" applyAlignment="1">
      <alignment horizontal="left" wrapText="1"/>
    </xf>
    <xf numFmtId="210" fontId="1" fillId="47" borderId="0" xfId="0" applyNumberFormat="1" applyFont="1" applyFill="1" applyBorder="1" applyAlignment="1">
      <alignment horizontal="left"/>
    </xf>
    <xf numFmtId="0" fontId="28" fillId="47" borderId="0" xfId="0" applyNumberFormat="1" applyFont="1" applyFill="1" applyBorder="1" applyAlignment="1">
      <alignment horizontal="left"/>
    </xf>
    <xf numFmtId="210" fontId="25" fillId="47" borderId="0" xfId="0" applyNumberFormat="1" applyFont="1" applyFill="1" applyBorder="1" applyAlignment="1">
      <alignment horizontal="center" wrapText="1"/>
    </xf>
    <xf numFmtId="0" fontId="28" fillId="47" borderId="0" xfId="0" applyNumberFormat="1" applyFont="1" applyFill="1" applyAlignment="1">
      <alignment horizontal="left"/>
    </xf>
    <xf numFmtId="0" fontId="25" fillId="47" borderId="0" xfId="0" applyNumberFormat="1" applyFont="1" applyFill="1" applyAlignment="1">
      <alignment horizontal="center"/>
    </xf>
    <xf numFmtId="210" fontId="25" fillId="47" borderId="0" xfId="0" applyNumberFormat="1" applyFont="1" applyFill="1" applyAlignment="1">
      <alignment horizontal="center"/>
    </xf>
    <xf numFmtId="4" fontId="25" fillId="47" borderId="0" xfId="0" applyNumberFormat="1" applyFont="1" applyFill="1" applyAlignment="1">
      <alignment horizontal="center"/>
    </xf>
    <xf numFmtId="0" fontId="0" fillId="47" borderId="0" xfId="0" applyNumberFormat="1" applyFont="1" applyFill="1" applyAlignment="1">
      <alignment horizontal="left"/>
    </xf>
    <xf numFmtId="0" fontId="4" fillId="47" borderId="0" xfId="0" applyNumberFormat="1" applyFont="1" applyFill="1" applyAlignment="1">
      <alignment horizontal="left"/>
    </xf>
    <xf numFmtId="0" fontId="4" fillId="47" borderId="0" xfId="0" applyNumberFormat="1" applyFont="1" applyFill="1" applyAlignment="1">
      <alignment horizontal="left" wrapText="1"/>
    </xf>
    <xf numFmtId="0" fontId="25" fillId="47" borderId="0" xfId="0" applyNumberFormat="1" applyFont="1" applyFill="1" applyAlignment="1">
      <alignment horizontal="center" wrapText="1"/>
    </xf>
    <xf numFmtId="210" fontId="25" fillId="47" borderId="0" xfId="0" applyNumberFormat="1" applyFont="1" applyFill="1" applyAlignment="1">
      <alignment horizontal="center" wrapText="1"/>
    </xf>
    <xf numFmtId="4" fontId="0" fillId="47" borderId="0" xfId="0" applyNumberFormat="1" applyFont="1" applyFill="1" applyAlignment="1">
      <alignment horizontal="left"/>
    </xf>
    <xf numFmtId="210" fontId="20" fillId="47" borderId="0" xfId="0" applyNumberFormat="1" applyFont="1" applyFill="1" applyAlignment="1">
      <alignment horizontal="left"/>
    </xf>
    <xf numFmtId="210" fontId="104" fillId="47" borderId="20" xfId="0" applyNumberFormat="1" applyFont="1" applyFill="1" applyBorder="1" applyAlignment="1" applyProtection="1">
      <alignment horizontal="left" vertical="center"/>
      <protection/>
    </xf>
    <xf numFmtId="210" fontId="105" fillId="47" borderId="0" xfId="0" applyNumberFormat="1" applyFont="1" applyFill="1" applyAlignment="1">
      <alignment horizontal="center"/>
    </xf>
    <xf numFmtId="210" fontId="105" fillId="47" borderId="0" xfId="0" applyNumberFormat="1" applyFont="1" applyFill="1" applyAlignment="1">
      <alignment horizontal="center" wrapText="1"/>
    </xf>
    <xf numFmtId="210" fontId="52" fillId="47" borderId="0" xfId="0" applyNumberFormat="1" applyFont="1" applyFill="1" applyBorder="1" applyAlignment="1">
      <alignment horizontal="left" wrapText="1"/>
    </xf>
    <xf numFmtId="210" fontId="105" fillId="47" borderId="0" xfId="0" applyNumberFormat="1" applyFont="1" applyFill="1" applyBorder="1" applyAlignment="1">
      <alignment horizontal="center" wrapText="1"/>
    </xf>
    <xf numFmtId="210" fontId="20" fillId="47" borderId="0" xfId="0" applyNumberFormat="1" applyFont="1" applyFill="1" applyBorder="1" applyAlignment="1">
      <alignment horizontal="left"/>
    </xf>
    <xf numFmtId="210" fontId="106" fillId="47" borderId="0" xfId="0" applyNumberFormat="1" applyFont="1" applyFill="1" applyAlignment="1">
      <alignment horizontal="left"/>
    </xf>
    <xf numFmtId="3" fontId="103" fillId="49" borderId="20" xfId="290" applyNumberFormat="1" applyFont="1" applyFill="1" applyBorder="1" applyAlignment="1" applyProtection="1">
      <alignment horizontal="right" vertical="center" wrapText="1"/>
      <protection/>
    </xf>
    <xf numFmtId="49" fontId="0" fillId="49" borderId="0" xfId="0" applyNumberFormat="1" applyFont="1" applyFill="1" applyAlignment="1">
      <alignment horizontal="left"/>
    </xf>
    <xf numFmtId="0" fontId="103" fillId="49" borderId="20" xfId="292" applyFont="1" applyFill="1" applyBorder="1" applyAlignment="1" applyProtection="1">
      <alignment horizontal="left" vertical="center"/>
      <protection/>
    </xf>
    <xf numFmtId="49" fontId="18" fillId="47" borderId="0" xfId="0" applyNumberFormat="1" applyFont="1" applyFill="1" applyBorder="1" applyAlignment="1">
      <alignment horizontal="center"/>
    </xf>
    <xf numFmtId="49" fontId="18" fillId="47" borderId="0" xfId="0" applyNumberFormat="1" applyFont="1" applyFill="1" applyBorder="1" applyAlignment="1">
      <alignment/>
    </xf>
    <xf numFmtId="49" fontId="18" fillId="47" borderId="20" xfId="0" applyNumberFormat="1" applyFont="1" applyFill="1" applyBorder="1" applyAlignment="1" applyProtection="1">
      <alignment horizontal="center" vertical="center"/>
      <protection/>
    </xf>
    <xf numFmtId="49" fontId="18" fillId="47" borderId="39" xfId="0" applyNumberFormat="1" applyFont="1" applyFill="1" applyBorder="1" applyAlignment="1" applyProtection="1">
      <alignment horizontal="center" vertical="center"/>
      <protection/>
    </xf>
    <xf numFmtId="0" fontId="28" fillId="47" borderId="0" xfId="0" applyNumberFormat="1" applyFont="1" applyFill="1" applyBorder="1" applyAlignment="1">
      <alignment vertical="center"/>
    </xf>
    <xf numFmtId="0" fontId="25" fillId="47" borderId="0" xfId="0" applyNumberFormat="1" applyFont="1" applyFill="1" applyBorder="1" applyAlignment="1">
      <alignment vertical="center"/>
    </xf>
    <xf numFmtId="0" fontId="25" fillId="47" borderId="0" xfId="0" applyNumberFormat="1" applyFont="1" applyFill="1" applyAlignment="1">
      <alignment/>
    </xf>
    <xf numFmtId="49" fontId="28" fillId="47" borderId="0" xfId="0" applyNumberFormat="1" applyFont="1" applyFill="1" applyBorder="1" applyAlignment="1">
      <alignment/>
    </xf>
    <xf numFmtId="4" fontId="8" fillId="47" borderId="20" xfId="291" applyNumberFormat="1" applyFont="1" applyFill="1" applyBorder="1" applyAlignment="1">
      <alignment vertical="center" wrapText="1"/>
      <protection/>
    </xf>
    <xf numFmtId="0" fontId="8" fillId="49" borderId="20" xfId="292" applyFont="1" applyFill="1" applyBorder="1" applyAlignment="1" applyProtection="1">
      <alignment horizontal="left" vertical="center"/>
      <protection/>
    </xf>
    <xf numFmtId="0" fontId="8" fillId="49" borderId="20" xfId="289" applyFont="1" applyFill="1" applyBorder="1" applyAlignment="1">
      <alignment horizontal="left"/>
      <protection/>
    </xf>
    <xf numFmtId="3" fontId="0" fillId="49" borderId="20" xfId="290" applyNumberFormat="1" applyFont="1" applyFill="1" applyBorder="1" applyAlignment="1" applyProtection="1">
      <alignment horizontal="right" vertical="center" wrapText="1"/>
      <protection/>
    </xf>
    <xf numFmtId="4" fontId="0" fillId="49" borderId="20" xfId="306" applyNumberFormat="1" applyFont="1" applyFill="1" applyBorder="1" applyAlignment="1">
      <alignment horizontal="right" vertical="center" wrapText="1"/>
    </xf>
    <xf numFmtId="4" fontId="0" fillId="47" borderId="20" xfId="306" applyNumberFormat="1" applyFont="1" applyFill="1" applyBorder="1" applyAlignment="1">
      <alignment horizontal="right" vertical="center" wrapText="1"/>
    </xf>
    <xf numFmtId="0" fontId="0" fillId="49" borderId="20" xfId="290" applyFont="1" applyFill="1" applyBorder="1" applyAlignment="1" applyProtection="1">
      <alignment horizontal="center" vertical="center" wrapText="1"/>
      <protection/>
    </xf>
    <xf numFmtId="0" fontId="0" fillId="49" borderId="20" xfId="288" applyFont="1" applyFill="1" applyBorder="1" applyAlignment="1">
      <alignment horizontal="left"/>
      <protection/>
    </xf>
    <xf numFmtId="3" fontId="0" fillId="49" borderId="20" xfId="290" applyNumberFormat="1" applyFont="1" applyFill="1" applyBorder="1" applyAlignment="1">
      <alignment horizontal="right" vertical="center" wrapText="1"/>
      <protection/>
    </xf>
    <xf numFmtId="0" fontId="8" fillId="49" borderId="20" xfId="292" applyFont="1" applyFill="1" applyBorder="1" applyAlignment="1" applyProtection="1">
      <alignment horizontal="left" vertical="top"/>
      <protection/>
    </xf>
    <xf numFmtId="3" fontId="0" fillId="49" borderId="20" xfId="306" applyNumberFormat="1" applyFont="1" applyFill="1" applyBorder="1" applyAlignment="1">
      <alignment horizontal="right" vertical="center" wrapText="1"/>
    </xf>
    <xf numFmtId="3" fontId="0" fillId="49" borderId="20" xfId="0" applyNumberFormat="1" applyFont="1" applyFill="1" applyBorder="1" applyAlignment="1" applyProtection="1">
      <alignment horizontal="right" vertical="center" wrapText="1"/>
      <protection/>
    </xf>
    <xf numFmtId="210" fontId="4" fillId="47" borderId="20" xfId="0" applyNumberFormat="1" applyFont="1" applyFill="1" applyBorder="1" applyAlignment="1" applyProtection="1">
      <alignment horizontal="right" vertical="center"/>
      <protection/>
    </xf>
    <xf numFmtId="210" fontId="4" fillId="47" borderId="20" xfId="290" applyNumberFormat="1" applyFont="1" applyFill="1" applyBorder="1" applyAlignment="1" applyProtection="1">
      <alignment horizontal="right" vertical="center"/>
      <protection/>
    </xf>
    <xf numFmtId="210" fontId="4" fillId="47" borderId="20" xfId="304" applyNumberFormat="1" applyFont="1" applyFill="1" applyBorder="1" applyAlignment="1" applyProtection="1">
      <alignment horizontal="right" vertical="center"/>
      <protection/>
    </xf>
    <xf numFmtId="210" fontId="4" fillId="47" borderId="20" xfId="0" applyNumberFormat="1" applyFont="1" applyFill="1" applyBorder="1" applyAlignment="1">
      <alignment horizontal="right"/>
    </xf>
    <xf numFmtId="210" fontId="8" fillId="47" borderId="20" xfId="0" applyNumberFormat="1" applyFont="1" applyFill="1" applyBorder="1" applyAlignment="1" applyProtection="1">
      <alignment vertical="center"/>
      <protection/>
    </xf>
    <xf numFmtId="210" fontId="8" fillId="47" borderId="20" xfId="0" applyNumberFormat="1" applyFont="1" applyFill="1" applyBorder="1" applyAlignment="1" applyProtection="1">
      <alignment horizontal="right" vertical="center"/>
      <protection/>
    </xf>
    <xf numFmtId="210" fontId="8" fillId="47" borderId="20" xfId="304" applyNumberFormat="1" applyFont="1" applyFill="1" applyBorder="1" applyAlignment="1" applyProtection="1">
      <alignment vertical="center"/>
      <protection/>
    </xf>
    <xf numFmtId="210" fontId="8" fillId="47" borderId="20" xfId="0" applyNumberFormat="1" applyFont="1" applyFill="1" applyBorder="1" applyAlignment="1">
      <alignment/>
    </xf>
    <xf numFmtId="210" fontId="8" fillId="47" borderId="20" xfId="95" applyNumberFormat="1" applyFont="1" applyFill="1" applyBorder="1" applyAlignment="1">
      <alignment horizontal="right" vertical="center"/>
    </xf>
    <xf numFmtId="210" fontId="8" fillId="47" borderId="20" xfId="304" applyNumberFormat="1" applyFont="1" applyFill="1" applyBorder="1" applyAlignment="1" applyProtection="1">
      <alignment horizontal="right" vertical="center"/>
      <protection/>
    </xf>
    <xf numFmtId="210" fontId="8" fillId="47" borderId="20" xfId="0" applyNumberFormat="1" applyFont="1" applyFill="1" applyBorder="1" applyAlignment="1">
      <alignment horizontal="right" vertical="center"/>
    </xf>
    <xf numFmtId="3" fontId="8" fillId="49" borderId="20" xfId="291" applyNumberFormat="1" applyFont="1" applyFill="1" applyBorder="1" applyAlignment="1" applyProtection="1">
      <alignment horizontal="center" vertical="center" wrapText="1"/>
      <protection/>
    </xf>
    <xf numFmtId="210" fontId="8" fillId="47" borderId="20" xfId="304" applyNumberFormat="1" applyFont="1" applyFill="1" applyBorder="1" applyAlignment="1">
      <alignment/>
    </xf>
    <xf numFmtId="210" fontId="8" fillId="47" borderId="20" xfId="290" applyNumberFormat="1" applyFont="1" applyFill="1" applyBorder="1" applyAlignment="1" applyProtection="1">
      <alignment horizontal="right" vertical="center"/>
      <protection/>
    </xf>
    <xf numFmtId="210" fontId="8" fillId="47" borderId="20" xfId="0" applyNumberFormat="1" applyFont="1" applyFill="1" applyBorder="1" applyAlignment="1">
      <alignment horizontal="right"/>
    </xf>
    <xf numFmtId="210" fontId="8" fillId="47" borderId="20" xfId="95" applyNumberFormat="1" applyFont="1" applyFill="1" applyBorder="1" applyAlignment="1">
      <alignment horizontal="right"/>
    </xf>
    <xf numFmtId="210" fontId="8" fillId="47" borderId="0" xfId="304" applyNumberFormat="1" applyFont="1" applyFill="1" applyBorder="1" applyAlignment="1" applyProtection="1">
      <alignment horizontal="right" vertical="center"/>
      <protection/>
    </xf>
    <xf numFmtId="210" fontId="8" fillId="47" borderId="0" xfId="0" applyNumberFormat="1" applyFont="1" applyFill="1" applyBorder="1" applyAlignment="1">
      <alignment horizontal="right"/>
    </xf>
    <xf numFmtId="0" fontId="8" fillId="0" borderId="20" xfId="290" applyFont="1" applyFill="1" applyBorder="1" applyAlignment="1" applyProtection="1">
      <alignment horizontal="center" vertical="center" wrapText="1"/>
      <protection/>
    </xf>
    <xf numFmtId="3" fontId="8" fillId="0" borderId="20" xfId="291" applyNumberFormat="1" applyFont="1" applyFill="1" applyBorder="1" applyAlignment="1" applyProtection="1">
      <alignment horizontal="center" vertical="center" wrapText="1"/>
      <protection/>
    </xf>
    <xf numFmtId="4" fontId="8" fillId="0" borderId="20" xfId="291" applyNumberFormat="1" applyFont="1" applyFill="1" applyBorder="1" applyAlignment="1">
      <alignment vertical="center" wrapText="1"/>
      <protection/>
    </xf>
    <xf numFmtId="210" fontId="0" fillId="0" borderId="0" xfId="0" applyNumberFormat="1" applyFont="1" applyFill="1" applyAlignment="1">
      <alignment horizontal="left"/>
    </xf>
    <xf numFmtId="49" fontId="24" fillId="0" borderId="0" xfId="0" applyNumberFormat="1" applyFont="1" applyFill="1" applyAlignment="1">
      <alignment horizontal="left"/>
    </xf>
    <xf numFmtId="0" fontId="8" fillId="0" borderId="20" xfId="289" applyFont="1" applyFill="1" applyBorder="1" applyAlignment="1">
      <alignment horizontal="left"/>
      <protection/>
    </xf>
    <xf numFmtId="211" fontId="8" fillId="0" borderId="26" xfId="292" applyNumberFormat="1" applyFont="1" applyFill="1" applyBorder="1" applyAlignment="1" applyProtection="1">
      <alignment vertical="center" wrapText="1"/>
      <protection/>
    </xf>
    <xf numFmtId="3" fontId="109" fillId="0" borderId="20" xfId="290" applyNumberFormat="1" applyFont="1" applyFill="1" applyBorder="1" applyAlignment="1" applyProtection="1">
      <alignment horizontal="center" vertical="center" wrapText="1"/>
      <protection/>
    </xf>
    <xf numFmtId="3" fontId="8" fillId="0" borderId="20" xfId="290" applyNumberFormat="1" applyFont="1" applyFill="1" applyBorder="1" applyAlignment="1" applyProtection="1">
      <alignment horizontal="center" vertical="center" wrapText="1"/>
      <protection/>
    </xf>
    <xf numFmtId="49" fontId="8" fillId="0" borderId="20" xfId="292" applyNumberFormat="1" applyFont="1" applyFill="1" applyBorder="1" applyAlignment="1" applyProtection="1">
      <alignment horizontal="left" vertical="center"/>
      <protection/>
    </xf>
    <xf numFmtId="3" fontId="8" fillId="0" borderId="20" xfId="0" applyNumberFormat="1" applyFont="1" applyFill="1" applyBorder="1" applyAlignment="1" applyProtection="1">
      <alignment horizontal="center" vertical="center" wrapText="1"/>
      <protection/>
    </xf>
    <xf numFmtId="3" fontId="8" fillId="0" borderId="20" xfId="300" applyNumberFormat="1" applyFont="1" applyFill="1" applyBorder="1" applyAlignment="1" applyProtection="1">
      <alignment horizontal="center" vertical="center" wrapText="1"/>
      <protection/>
    </xf>
    <xf numFmtId="0" fontId="8" fillId="0" borderId="20" xfId="292" applyFont="1" applyFill="1" applyBorder="1" applyAlignment="1" applyProtection="1">
      <alignment horizontal="left" vertical="center"/>
      <protection/>
    </xf>
    <xf numFmtId="3" fontId="8" fillId="0" borderId="20" xfId="97" applyNumberFormat="1" applyFont="1" applyFill="1" applyBorder="1" applyAlignment="1" applyProtection="1">
      <alignment horizontal="center" vertical="center" wrapText="1"/>
      <protection/>
    </xf>
    <xf numFmtId="3" fontId="8" fillId="0" borderId="20" xfId="97" applyNumberFormat="1" applyFont="1" applyFill="1" applyBorder="1" applyAlignment="1">
      <alignment horizontal="center" vertical="center" wrapText="1"/>
    </xf>
    <xf numFmtId="3" fontId="8" fillId="0" borderId="20" xfId="306" applyNumberFormat="1" applyFont="1" applyFill="1" applyBorder="1" applyAlignment="1" applyProtection="1">
      <alignment horizontal="center" vertical="center" wrapText="1"/>
      <protection/>
    </xf>
    <xf numFmtId="3" fontId="8" fillId="0" borderId="20" xfId="291" applyNumberFormat="1" applyFont="1" applyFill="1" applyBorder="1" applyAlignment="1">
      <alignment horizontal="center" vertical="center" wrapText="1"/>
      <protection/>
    </xf>
    <xf numFmtId="49" fontId="8" fillId="0" borderId="20" xfId="290" applyNumberFormat="1" applyFont="1" applyFill="1" applyBorder="1" applyAlignment="1" applyProtection="1">
      <alignment horizontal="center" vertical="center" wrapText="1"/>
      <protection/>
    </xf>
    <xf numFmtId="3" fontId="8" fillId="0" borderId="20" xfId="292" applyNumberFormat="1" applyFont="1" applyFill="1" applyBorder="1" applyAlignment="1" applyProtection="1">
      <alignment horizontal="left" vertical="center" wrapText="1" shrinkToFit="1"/>
      <protection locked="0"/>
    </xf>
    <xf numFmtId="3" fontId="8" fillId="0" borderId="20" xfId="290" applyNumberFormat="1" applyFont="1" applyFill="1" applyBorder="1" applyAlignment="1" applyProtection="1">
      <alignment horizontal="center" vertical="center" wrapText="1" shrinkToFit="1"/>
      <protection/>
    </xf>
    <xf numFmtId="3" fontId="8" fillId="0" borderId="20" xfId="290" applyNumberFormat="1" applyFont="1" applyFill="1" applyBorder="1" applyAlignment="1" applyProtection="1">
      <alignment horizontal="center" vertical="center" wrapText="1" shrinkToFit="1"/>
      <protection locked="0"/>
    </xf>
    <xf numFmtId="3" fontId="8" fillId="0" borderId="20" xfId="290" applyNumberFormat="1" applyFont="1" applyFill="1" applyBorder="1" applyAlignment="1">
      <alignment horizontal="center" vertical="center" wrapText="1" shrinkToFit="1"/>
      <protection/>
    </xf>
    <xf numFmtId="3" fontId="8" fillId="0" borderId="20" xfId="299" applyNumberFormat="1" applyFont="1" applyFill="1" applyBorder="1" applyAlignment="1" applyProtection="1">
      <alignment horizontal="center" vertical="center" wrapText="1" shrinkToFit="1"/>
      <protection/>
    </xf>
    <xf numFmtId="3" fontId="8" fillId="0" borderId="20" xfId="284" applyNumberFormat="1" applyFont="1" applyFill="1" applyBorder="1" applyAlignment="1" applyProtection="1">
      <alignment horizontal="center" vertical="center" wrapText="1"/>
      <protection locked="0"/>
    </xf>
    <xf numFmtId="211" fontId="8" fillId="0" borderId="20" xfId="292" applyNumberFormat="1" applyFont="1" applyFill="1" applyBorder="1" applyAlignment="1" applyProtection="1">
      <alignment vertical="center"/>
      <protection/>
    </xf>
    <xf numFmtId="3" fontId="8" fillId="0" borderId="20" xfId="0" applyNumberFormat="1" applyFont="1" applyFill="1" applyBorder="1" applyAlignment="1">
      <alignment horizontal="center" vertical="center" wrapText="1"/>
    </xf>
    <xf numFmtId="3" fontId="108" fillId="0" borderId="20" xfId="0" applyNumberFormat="1" applyFont="1" applyFill="1" applyBorder="1" applyAlignment="1" applyProtection="1">
      <alignment horizontal="center" vertical="center" wrapText="1"/>
      <protection hidden="1"/>
    </xf>
    <xf numFmtId="3" fontId="108" fillId="0" borderId="20" xfId="300" applyNumberFormat="1" applyFont="1" applyFill="1" applyBorder="1" applyAlignment="1" applyProtection="1">
      <alignment horizontal="center" vertical="center" wrapText="1"/>
      <protection hidden="1"/>
    </xf>
    <xf numFmtId="211" fontId="4" fillId="0" borderId="20" xfId="0" applyNumberFormat="1" applyFont="1" applyFill="1" applyBorder="1" applyAlignment="1" applyProtection="1">
      <alignment vertical="center"/>
      <protection/>
    </xf>
    <xf numFmtId="3" fontId="8" fillId="0" borderId="20" xfId="292" applyNumberFormat="1" applyFont="1" applyFill="1" applyBorder="1" applyAlignment="1" applyProtection="1">
      <alignment vertical="center"/>
      <protection/>
    </xf>
    <xf numFmtId="3" fontId="8" fillId="0" borderId="21" xfId="292" applyNumberFormat="1" applyFont="1" applyFill="1" applyBorder="1" applyAlignment="1" applyProtection="1">
      <alignment vertical="center"/>
      <protection/>
    </xf>
    <xf numFmtId="3" fontId="8" fillId="0" borderId="21" xfId="290" applyNumberFormat="1" applyFont="1" applyFill="1" applyBorder="1" applyAlignment="1" applyProtection="1">
      <alignment horizontal="center" vertical="center" wrapText="1"/>
      <protection/>
    </xf>
    <xf numFmtId="49" fontId="8" fillId="0" borderId="20" xfId="285" applyNumberFormat="1" applyFont="1" applyFill="1" applyBorder="1" applyAlignment="1" applyProtection="1">
      <alignment vertical="center"/>
      <protection locked="0"/>
    </xf>
    <xf numFmtId="0" fontId="4" fillId="0" borderId="20" xfId="0" applyNumberFormat="1" applyFont="1" applyFill="1" applyBorder="1" applyAlignment="1" applyProtection="1">
      <alignment horizontal="left" vertical="center" wrapText="1"/>
      <protection/>
    </xf>
    <xf numFmtId="49" fontId="4" fillId="0" borderId="0" xfId="0" applyNumberFormat="1" applyFont="1" applyFill="1" applyAlignment="1">
      <alignment horizontal="left" vertical="center" wrapText="1"/>
    </xf>
    <xf numFmtId="0" fontId="4" fillId="0" borderId="21" xfId="0" applyNumberFormat="1" applyFont="1" applyFill="1" applyBorder="1" applyAlignment="1" applyProtection="1">
      <alignment horizontal="left" vertical="center" wrapText="1"/>
      <protection/>
    </xf>
    <xf numFmtId="0" fontId="107" fillId="0" borderId="20" xfId="0" applyNumberFormat="1" applyFont="1" applyFill="1" applyBorder="1" applyAlignment="1" applyProtection="1">
      <alignment horizontal="left" vertical="center" wrapText="1"/>
      <protection/>
    </xf>
    <xf numFmtId="49" fontId="0" fillId="0" borderId="20" xfId="29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vertical="center"/>
      <protection/>
    </xf>
    <xf numFmtId="3" fontId="109" fillId="0" borderId="20" xfId="0" applyNumberFormat="1" applyFont="1" applyFill="1" applyBorder="1" applyAlignment="1" applyProtection="1">
      <alignment horizontal="center" vertical="center" wrapText="1"/>
      <protection/>
    </xf>
    <xf numFmtId="3" fontId="109" fillId="0" borderId="20" xfId="300" applyNumberFormat="1" applyFont="1" applyFill="1" applyBorder="1" applyAlignment="1" applyProtection="1">
      <alignment horizontal="center" vertical="center" wrapText="1"/>
      <protection/>
    </xf>
    <xf numFmtId="49" fontId="8" fillId="0" borderId="20" xfId="292" applyNumberFormat="1" applyFont="1" applyFill="1" applyBorder="1" applyAlignment="1" applyProtection="1">
      <alignment vertical="center"/>
      <protection/>
    </xf>
    <xf numFmtId="49" fontId="1" fillId="0" borderId="0" xfId="0" applyNumberFormat="1" applyFont="1" applyFill="1" applyBorder="1" applyAlignment="1">
      <alignment horizontal="left"/>
    </xf>
    <xf numFmtId="210" fontId="4" fillId="47" borderId="20" xfId="0" applyNumberFormat="1" applyFont="1" applyFill="1" applyBorder="1" applyAlignment="1">
      <alignment horizontal="right" vertical="center"/>
    </xf>
    <xf numFmtId="210" fontId="5" fillId="47" borderId="20" xfId="0" applyNumberFormat="1" applyFont="1" applyFill="1" applyBorder="1" applyAlignment="1" applyProtection="1">
      <alignment horizontal="right" vertical="center"/>
      <protection/>
    </xf>
    <xf numFmtId="210" fontId="5" fillId="47" borderId="20" xfId="0" applyNumberFormat="1" applyFont="1" applyFill="1" applyBorder="1" applyAlignment="1" applyProtection="1">
      <alignment vertical="center"/>
      <protection/>
    </xf>
    <xf numFmtId="210" fontId="5" fillId="47" borderId="20" xfId="304" applyNumberFormat="1" applyFont="1" applyFill="1" applyBorder="1" applyAlignment="1" applyProtection="1">
      <alignment vertical="center"/>
      <protection/>
    </xf>
    <xf numFmtId="210" fontId="5" fillId="47" borderId="20" xfId="0" applyNumberFormat="1" applyFont="1" applyFill="1" applyBorder="1" applyAlignment="1">
      <alignment/>
    </xf>
    <xf numFmtId="210" fontId="4" fillId="47" borderId="20" xfId="0" applyNumberFormat="1" applyFont="1" applyFill="1" applyBorder="1" applyAlignment="1" applyProtection="1">
      <alignment vertical="center"/>
      <protection/>
    </xf>
    <xf numFmtId="210" fontId="4" fillId="47" borderId="20" xfId="304" applyNumberFormat="1" applyFont="1" applyFill="1" applyBorder="1" applyAlignment="1" applyProtection="1">
      <alignment vertical="center"/>
      <protection/>
    </xf>
    <xf numFmtId="210" fontId="4" fillId="47" borderId="20" xfId="0" applyNumberFormat="1" applyFont="1" applyFill="1" applyBorder="1" applyAlignment="1">
      <alignment/>
    </xf>
    <xf numFmtId="210" fontId="4" fillId="47" borderId="0" xfId="0" applyNumberFormat="1" applyFont="1" applyFill="1" applyAlignment="1">
      <alignment horizontal="right"/>
    </xf>
    <xf numFmtId="0" fontId="0" fillId="0" borderId="20" xfId="290" applyFont="1" applyFill="1" applyBorder="1" applyAlignment="1" applyProtection="1">
      <alignment horizontal="center" vertical="center" wrapText="1"/>
      <protection/>
    </xf>
    <xf numFmtId="3" fontId="0" fillId="0" borderId="20" xfId="290" applyNumberFormat="1" applyFont="1" applyFill="1" applyBorder="1" applyAlignment="1">
      <alignment horizontal="right" vertical="center" wrapText="1"/>
      <protection/>
    </xf>
    <xf numFmtId="4" fontId="0" fillId="0" borderId="20" xfId="306" applyNumberFormat="1" applyFont="1" applyFill="1" applyBorder="1" applyAlignment="1">
      <alignment horizontal="right" vertical="center" wrapText="1"/>
    </xf>
    <xf numFmtId="0" fontId="0" fillId="0" borderId="20" xfId="288" applyFont="1" applyFill="1" applyBorder="1" applyAlignment="1">
      <alignment horizontal="left"/>
      <protection/>
    </xf>
    <xf numFmtId="3" fontId="0" fillId="0" borderId="20" xfId="306" applyNumberFormat="1" applyFont="1" applyFill="1" applyBorder="1" applyAlignment="1">
      <alignment horizontal="right" vertical="center" wrapText="1"/>
    </xf>
    <xf numFmtId="49" fontId="0" fillId="0" borderId="20" xfId="300" applyNumberFormat="1" applyFont="1" applyFill="1" applyBorder="1" applyAlignment="1">
      <alignment horizontal="right"/>
    </xf>
    <xf numFmtId="4" fontId="101" fillId="0" borderId="0" xfId="0" applyNumberFormat="1" applyFont="1" applyFill="1" applyBorder="1" applyAlignment="1">
      <alignment/>
    </xf>
    <xf numFmtId="49" fontId="101" fillId="0" borderId="0" xfId="0" applyNumberFormat="1" applyFont="1" applyFill="1" applyBorder="1" applyAlignment="1">
      <alignment/>
    </xf>
    <xf numFmtId="211" fontId="0" fillId="0" borderId="20" xfId="0" applyNumberFormat="1" applyFont="1" applyFill="1" applyBorder="1" applyAlignment="1" applyProtection="1">
      <alignment vertical="center"/>
      <protection/>
    </xf>
    <xf numFmtId="3" fontId="0" fillId="0" borderId="20" xfId="0" applyNumberFormat="1" applyFont="1" applyFill="1" applyBorder="1" applyAlignment="1" applyProtection="1">
      <alignment vertical="center"/>
      <protection/>
    </xf>
    <xf numFmtId="3" fontId="0" fillId="0" borderId="20" xfId="300" applyNumberFormat="1" applyFont="1" applyFill="1" applyBorder="1" applyAlignment="1" applyProtection="1">
      <alignment vertical="center"/>
      <protection/>
    </xf>
    <xf numFmtId="3" fontId="0" fillId="0" borderId="20" xfId="0" applyNumberFormat="1" applyFont="1" applyFill="1" applyBorder="1" applyAlignment="1">
      <alignment/>
    </xf>
    <xf numFmtId="49" fontId="0" fillId="47" borderId="0" xfId="0" applyNumberFormat="1" applyFont="1" applyFill="1" applyAlignment="1">
      <alignment horizontal="left"/>
    </xf>
    <xf numFmtId="49" fontId="0" fillId="47" borderId="0" xfId="0" applyNumberFormat="1" applyFont="1" applyFill="1" applyAlignment="1">
      <alignment/>
    </xf>
    <xf numFmtId="49" fontId="0" fillId="47" borderId="0" xfId="0" applyNumberFormat="1" applyFont="1" applyFill="1" applyAlignment="1">
      <alignment/>
    </xf>
    <xf numFmtId="49" fontId="0" fillId="47" borderId="0" xfId="0" applyNumberFormat="1" applyFont="1" applyFill="1" applyBorder="1" applyAlignment="1">
      <alignment/>
    </xf>
    <xf numFmtId="210" fontId="0" fillId="47" borderId="0" xfId="0" applyNumberFormat="1" applyFont="1" applyFill="1" applyAlignment="1">
      <alignment/>
    </xf>
    <xf numFmtId="49" fontId="0" fillId="47" borderId="0" xfId="0" applyNumberFormat="1" applyFont="1" applyFill="1" applyBorder="1" applyAlignment="1">
      <alignment/>
    </xf>
    <xf numFmtId="49" fontId="0" fillId="47" borderId="0" xfId="0" applyNumberFormat="1" applyFont="1" applyFill="1" applyAlignment="1">
      <alignment/>
    </xf>
    <xf numFmtId="210" fontId="0" fillId="47" borderId="0" xfId="0" applyNumberFormat="1" applyFont="1" applyFill="1" applyAlignment="1">
      <alignment/>
    </xf>
    <xf numFmtId="49" fontId="0" fillId="47" borderId="0" xfId="0" applyNumberFormat="1" applyFont="1" applyFill="1" applyAlignment="1">
      <alignment horizontal="left"/>
    </xf>
    <xf numFmtId="49" fontId="0" fillId="47" borderId="0" xfId="0" applyNumberFormat="1" applyFont="1" applyFill="1" applyAlignment="1">
      <alignment horizontal="center"/>
    </xf>
    <xf numFmtId="49" fontId="0" fillId="47" borderId="0" xfId="0" applyNumberFormat="1" applyFont="1" applyFill="1" applyAlignment="1">
      <alignment/>
    </xf>
    <xf numFmtId="49" fontId="0" fillId="47" borderId="20" xfId="0" applyNumberFormat="1" applyFont="1" applyFill="1" applyBorder="1" applyAlignment="1" applyProtection="1">
      <alignment horizontal="center" vertical="center" wrapText="1"/>
      <protection/>
    </xf>
    <xf numFmtId="49" fontId="0" fillId="47" borderId="20" xfId="0" applyNumberFormat="1" applyFont="1" applyFill="1" applyBorder="1" applyAlignment="1">
      <alignment horizontal="center" vertical="center" wrapText="1"/>
    </xf>
    <xf numFmtId="210" fontId="0" fillId="47" borderId="0" xfId="0" applyNumberFormat="1" applyFont="1" applyFill="1" applyBorder="1" applyAlignment="1">
      <alignment/>
    </xf>
    <xf numFmtId="3" fontId="0" fillId="49" borderId="20" xfId="290" applyNumberFormat="1" applyFont="1" applyFill="1" applyBorder="1" applyAlignment="1" applyProtection="1">
      <alignment horizontal="right" vertical="center" wrapText="1"/>
      <protection/>
    </xf>
    <xf numFmtId="4" fontId="0" fillId="49" borderId="20" xfId="306" applyNumberFormat="1" applyFont="1" applyFill="1" applyBorder="1" applyAlignment="1">
      <alignment horizontal="right" vertical="center" wrapText="1"/>
    </xf>
    <xf numFmtId="215" fontId="0" fillId="49" borderId="0" xfId="0" applyNumberFormat="1" applyFont="1" applyFill="1" applyAlignment="1">
      <alignment/>
    </xf>
    <xf numFmtId="0" fontId="0" fillId="49" borderId="20" xfId="290" applyFont="1" applyFill="1" applyBorder="1" applyAlignment="1" applyProtection="1">
      <alignment horizontal="center" vertical="center" wrapText="1"/>
      <protection/>
    </xf>
    <xf numFmtId="0" fontId="0" fillId="49" borderId="20" xfId="0" applyFont="1" applyFill="1" applyBorder="1" applyAlignment="1" applyProtection="1">
      <alignment horizontal="left" vertical="center"/>
      <protection/>
    </xf>
    <xf numFmtId="210" fontId="0" fillId="47" borderId="20" xfId="0" applyNumberFormat="1" applyFont="1" applyFill="1" applyBorder="1" applyAlignment="1" applyProtection="1">
      <alignment horizontal="left" vertical="center"/>
      <protection/>
    </xf>
    <xf numFmtId="215" fontId="0" fillId="49" borderId="0" xfId="0" applyNumberFormat="1" applyFont="1" applyFill="1" applyAlignment="1">
      <alignment/>
    </xf>
    <xf numFmtId="210" fontId="0" fillId="47" borderId="20" xfId="0" applyNumberFormat="1" applyFont="1" applyFill="1" applyBorder="1" applyAlignment="1" applyProtection="1">
      <alignment horizontal="left" vertical="center"/>
      <protection/>
    </xf>
    <xf numFmtId="215" fontId="0" fillId="47" borderId="0" xfId="0" applyNumberFormat="1" applyFont="1" applyFill="1" applyAlignment="1">
      <alignment/>
    </xf>
    <xf numFmtId="3" fontId="5" fillId="47" borderId="20" xfId="0" applyNumberFormat="1" applyFont="1" applyFill="1" applyBorder="1" applyAlignment="1" applyProtection="1">
      <alignment horizontal="right" vertical="center"/>
      <protection/>
    </xf>
    <xf numFmtId="3" fontId="4" fillId="47" borderId="20" xfId="0" applyNumberFormat="1" applyFont="1" applyFill="1" applyBorder="1" applyAlignment="1" applyProtection="1">
      <alignment horizontal="right" vertical="center"/>
      <protection/>
    </xf>
    <xf numFmtId="3" fontId="4" fillId="47" borderId="20" xfId="0" applyNumberFormat="1" applyFont="1" applyFill="1" applyBorder="1" applyAlignment="1">
      <alignment horizontal="right"/>
    </xf>
    <xf numFmtId="0" fontId="0" fillId="0" borderId="20" xfId="0" applyFont="1" applyFill="1" applyBorder="1" applyAlignment="1" applyProtection="1">
      <alignment horizontal="left" vertical="center"/>
      <protection/>
    </xf>
    <xf numFmtId="3" fontId="0" fillId="0" borderId="20" xfId="290" applyNumberFormat="1" applyFont="1" applyFill="1" applyBorder="1" applyAlignment="1" applyProtection="1">
      <alignment vertical="center" wrapText="1"/>
      <protection/>
    </xf>
    <xf numFmtId="215" fontId="0" fillId="0" borderId="0" xfId="0" applyNumberFormat="1" applyFont="1" applyFill="1" applyAlignment="1">
      <alignment/>
    </xf>
    <xf numFmtId="3" fontId="0" fillId="49" borderId="20" xfId="290" applyNumberFormat="1" applyFont="1" applyFill="1" applyBorder="1" applyAlignment="1" applyProtection="1">
      <alignment vertical="center" wrapText="1"/>
      <protection/>
    </xf>
    <xf numFmtId="211" fontId="0" fillId="0" borderId="26" xfId="0" applyNumberFormat="1" applyFont="1" applyFill="1" applyBorder="1" applyAlignment="1" applyProtection="1">
      <alignment vertical="center" wrapText="1"/>
      <protection/>
    </xf>
    <xf numFmtId="3" fontId="0" fillId="0" borderId="20" xfId="290" applyNumberFormat="1" applyFont="1" applyFill="1" applyBorder="1" applyAlignment="1" applyProtection="1">
      <alignment vertical="center"/>
      <protection/>
    </xf>
    <xf numFmtId="49" fontId="0" fillId="0" borderId="20" xfId="0" applyNumberFormat="1" applyFont="1" applyFill="1" applyBorder="1" applyAlignment="1" applyProtection="1">
      <alignment horizontal="left" vertical="center"/>
      <protection/>
    </xf>
    <xf numFmtId="3" fontId="0" fillId="0" borderId="20" xfId="306" applyNumberFormat="1" applyFont="1" applyFill="1" applyBorder="1" applyAlignment="1" applyProtection="1">
      <alignment vertical="center" wrapText="1"/>
      <protection/>
    </xf>
    <xf numFmtId="3" fontId="0" fillId="0" borderId="20" xfId="290" applyNumberFormat="1" applyFont="1" applyFill="1" applyBorder="1" applyAlignment="1">
      <alignment vertical="center" wrapText="1"/>
      <protection/>
    </xf>
    <xf numFmtId="3" fontId="0" fillId="0" borderId="20" xfId="0" applyNumberFormat="1" applyFont="1" applyFill="1" applyBorder="1" applyAlignment="1" applyProtection="1">
      <alignment horizontal="left" vertical="center" wrapText="1" shrinkToFit="1"/>
      <protection locked="0"/>
    </xf>
    <xf numFmtId="3" fontId="0" fillId="0" borderId="20" xfId="290" applyNumberFormat="1" applyFont="1" applyFill="1" applyBorder="1" applyAlignment="1" applyProtection="1">
      <alignment vertical="center" shrinkToFit="1"/>
      <protection/>
    </xf>
    <xf numFmtId="3" fontId="0" fillId="0" borderId="20" xfId="290" applyNumberFormat="1" applyFont="1" applyFill="1" applyBorder="1" applyAlignment="1" applyProtection="1">
      <alignment vertical="center" shrinkToFit="1"/>
      <protection locked="0"/>
    </xf>
    <xf numFmtId="3" fontId="0" fillId="0" borderId="20" xfId="290" applyNumberFormat="1" applyFont="1" applyFill="1" applyBorder="1" applyAlignment="1">
      <alignment vertical="center" shrinkToFit="1"/>
      <protection/>
    </xf>
    <xf numFmtId="49" fontId="0" fillId="0" borderId="20" xfId="0" applyNumberFormat="1" applyFont="1" applyFill="1" applyBorder="1" applyAlignment="1" applyProtection="1">
      <alignment vertical="center"/>
      <protection/>
    </xf>
    <xf numFmtId="3" fontId="0" fillId="0" borderId="20" xfId="97" applyNumberFormat="1" applyFont="1" applyFill="1" applyBorder="1" applyAlignment="1" applyProtection="1">
      <alignment/>
      <protection locked="0"/>
    </xf>
    <xf numFmtId="3" fontId="0" fillId="0" borderId="0" xfId="0" applyNumberFormat="1" applyFont="1" applyFill="1" applyAlignment="1" applyProtection="1">
      <alignment/>
      <protection locked="0"/>
    </xf>
    <xf numFmtId="0" fontId="0" fillId="49" borderId="20" xfId="0" applyFont="1" applyFill="1" applyBorder="1" applyAlignment="1" applyProtection="1">
      <alignment horizontal="left" vertical="center"/>
      <protection/>
    </xf>
    <xf numFmtId="3" fontId="0" fillId="0" borderId="20" xfId="0" applyNumberFormat="1" applyFont="1" applyFill="1" applyBorder="1" applyAlignment="1" applyProtection="1">
      <alignment vertical="center"/>
      <protection hidden="1"/>
    </xf>
    <xf numFmtId="3" fontId="0" fillId="0" borderId="20" xfId="300" applyNumberFormat="1" applyFont="1" applyFill="1" applyBorder="1" applyAlignment="1" applyProtection="1">
      <alignment vertical="center"/>
      <protection hidden="1"/>
    </xf>
    <xf numFmtId="3" fontId="0" fillId="0" borderId="20" xfId="0" applyNumberFormat="1" applyFont="1" applyFill="1" applyBorder="1" applyAlignment="1" applyProtection="1">
      <alignment/>
      <protection hidden="1"/>
    </xf>
    <xf numFmtId="3" fontId="0" fillId="0" borderId="20" xfId="299" applyNumberFormat="1" applyFont="1" applyFill="1" applyBorder="1" applyAlignment="1" applyProtection="1">
      <alignment vertical="center"/>
      <protection/>
    </xf>
    <xf numFmtId="3" fontId="0" fillId="0" borderId="20" xfId="290" applyNumberFormat="1" applyFont="1" applyFill="1" applyBorder="1" applyAlignment="1">
      <alignment/>
      <protection/>
    </xf>
    <xf numFmtId="3" fontId="0" fillId="0" borderId="21" xfId="0" applyNumberFormat="1" applyFont="1" applyFill="1" applyBorder="1" applyAlignment="1" applyProtection="1">
      <alignment vertical="center"/>
      <protection/>
    </xf>
    <xf numFmtId="3" fontId="0" fillId="0" borderId="21" xfId="290" applyNumberFormat="1" applyFont="1" applyFill="1" applyBorder="1" applyAlignment="1" applyProtection="1">
      <alignment vertical="center"/>
      <protection/>
    </xf>
    <xf numFmtId="3" fontId="0" fillId="0" borderId="20" xfId="0" applyNumberFormat="1" applyFont="1" applyFill="1" applyBorder="1" applyAlignment="1">
      <alignment vertical="center"/>
    </xf>
    <xf numFmtId="49" fontId="15" fillId="0" borderId="19" xfId="0" applyNumberFormat="1" applyFont="1" applyFill="1" applyBorder="1" applyAlignment="1">
      <alignment horizontal="center"/>
    </xf>
    <xf numFmtId="49" fontId="14" fillId="0" borderId="0" xfId="0" applyNumberFormat="1" applyFont="1" applyFill="1" applyBorder="1" applyAlignment="1">
      <alignment horizontal="center"/>
    </xf>
    <xf numFmtId="49" fontId="18" fillId="0" borderId="0" xfId="0" applyNumberFormat="1" applyFont="1" applyFill="1" applyAlignment="1">
      <alignment horizontal="center"/>
    </xf>
    <xf numFmtId="0" fontId="7" fillId="0" borderId="35" xfId="0" applyNumberFormat="1" applyFont="1" applyFill="1" applyBorder="1" applyAlignment="1">
      <alignment horizontal="center" vertical="center" wrapText="1"/>
    </xf>
    <xf numFmtId="0" fontId="7" fillId="0" borderId="36" xfId="0" applyNumberFormat="1"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0" fontId="7" fillId="0" borderId="40" xfId="0" applyNumberFormat="1" applyFont="1" applyFill="1" applyBorder="1" applyAlignment="1">
      <alignment horizontal="center" vertical="center" wrapText="1"/>
    </xf>
    <xf numFmtId="49" fontId="7" fillId="0" borderId="26" xfId="0" applyNumberFormat="1" applyFont="1" applyFill="1" applyBorder="1" applyAlignment="1">
      <alignment horizontal="center" vertical="distributed" wrapText="1"/>
    </xf>
    <xf numFmtId="0" fontId="4" fillId="0" borderId="25" xfId="0" applyFont="1" applyFill="1" applyBorder="1" applyAlignment="1">
      <alignment horizontal="center" vertical="distributed"/>
    </xf>
    <xf numFmtId="49" fontId="7" fillId="0" borderId="41"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7" fillId="0" borderId="21" xfId="0" applyNumberFormat="1" applyFont="1" applyFill="1" applyBorder="1" applyAlignment="1">
      <alignment horizontal="center" vertical="center" wrapText="1"/>
    </xf>
    <xf numFmtId="0" fontId="4" fillId="0" borderId="38" xfId="0" applyFont="1" applyFill="1" applyBorder="1" applyAlignment="1">
      <alignment/>
    </xf>
    <xf numFmtId="49" fontId="7" fillId="0" borderId="26" xfId="0" applyNumberFormat="1" applyFont="1" applyFill="1" applyBorder="1" applyAlignment="1">
      <alignment horizontal="center" vertical="center" wrapText="1"/>
    </xf>
    <xf numFmtId="49" fontId="13" fillId="0" borderId="0" xfId="0" applyNumberFormat="1" applyFont="1" applyFill="1" applyAlignment="1">
      <alignment horizontal="left" wrapText="1"/>
    </xf>
    <xf numFmtId="49" fontId="6" fillId="0" borderId="26"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49" fontId="15" fillId="0" borderId="0" xfId="0" applyNumberFormat="1" applyFont="1" applyFill="1" applyBorder="1" applyAlignment="1">
      <alignment horizontal="center" wrapText="1"/>
    </xf>
    <xf numFmtId="49" fontId="13" fillId="0" borderId="0" xfId="0" applyNumberFormat="1" applyFont="1" applyFill="1" applyAlignment="1">
      <alignment/>
    </xf>
    <xf numFmtId="49" fontId="0" fillId="0" borderId="0" xfId="0" applyNumberFormat="1" applyFont="1" applyFill="1" applyBorder="1" applyAlignment="1">
      <alignment horizontal="center" wrapText="1"/>
    </xf>
    <xf numFmtId="49" fontId="3" fillId="0" borderId="0" xfId="0" applyNumberFormat="1" applyFont="1" applyFill="1" applyAlignment="1">
      <alignment horizontal="center" wrapText="1"/>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28" fillId="0" borderId="0" xfId="286" applyNumberFormat="1" applyFont="1" applyAlignment="1">
      <alignment horizontal="center" wrapText="1"/>
      <protection/>
    </xf>
    <xf numFmtId="49" fontId="25" fillId="0" borderId="0" xfId="286" applyNumberFormat="1" applyFont="1" applyAlignment="1">
      <alignment horizontal="center"/>
      <protection/>
    </xf>
    <xf numFmtId="49" fontId="25" fillId="0" borderId="0" xfId="286" applyNumberFormat="1" applyFont="1" applyBorder="1" applyAlignment="1">
      <alignment horizontal="center" wrapText="1"/>
      <protection/>
    </xf>
    <xf numFmtId="49" fontId="65" fillId="0" borderId="0" xfId="286" applyNumberFormat="1" applyFont="1" applyBorder="1" applyAlignment="1">
      <alignment horizontal="center" wrapText="1"/>
      <protection/>
    </xf>
    <xf numFmtId="49" fontId="40" fillId="0" borderId="0" xfId="286" applyNumberFormat="1" applyFont="1" applyBorder="1" applyAlignment="1">
      <alignment horizontal="center" wrapText="1"/>
      <protection/>
    </xf>
    <xf numFmtId="49" fontId="0" fillId="3" borderId="35" xfId="286" applyNumberFormat="1" applyFont="1" applyFill="1" applyBorder="1" applyAlignment="1">
      <alignment horizontal="center"/>
      <protection/>
    </xf>
    <xf numFmtId="49" fontId="0" fillId="3" borderId="19" xfId="286" applyNumberFormat="1" applyFont="1" applyFill="1" applyBorder="1" applyAlignment="1">
      <alignment horizontal="center"/>
      <protection/>
    </xf>
    <xf numFmtId="49" fontId="0" fillId="3" borderId="36" xfId="286" applyNumberFormat="1" applyFont="1" applyFill="1" applyBorder="1" applyAlignment="1">
      <alignment horizontal="center"/>
      <protection/>
    </xf>
    <xf numFmtId="49" fontId="18" fillId="0" borderId="22" xfId="286" applyNumberFormat="1" applyFont="1" applyFill="1" applyBorder="1" applyAlignment="1">
      <alignment horizontal="center" vertical="center"/>
      <protection/>
    </xf>
    <xf numFmtId="49" fontId="7" fillId="0" borderId="20" xfId="286" applyNumberFormat="1" applyFont="1" applyFill="1" applyBorder="1" applyAlignment="1">
      <alignment horizontal="center" vertical="center" wrapText="1"/>
      <protection/>
    </xf>
    <xf numFmtId="49" fontId="7" fillId="0" borderId="26" xfId="286" applyNumberFormat="1" applyFont="1" applyBorder="1" applyAlignment="1">
      <alignment horizontal="center" vertical="center" wrapText="1"/>
      <protection/>
    </xf>
    <xf numFmtId="49" fontId="7" fillId="0" borderId="41" xfId="286" applyNumberFormat="1" applyFont="1" applyBorder="1" applyAlignment="1">
      <alignment horizontal="center" vertical="center" wrapText="1"/>
      <protection/>
    </xf>
    <xf numFmtId="49" fontId="7" fillId="0" borderId="25" xfId="286" applyNumberFormat="1" applyFont="1" applyBorder="1" applyAlignment="1">
      <alignment horizontal="center" vertical="center" wrapText="1"/>
      <protection/>
    </xf>
    <xf numFmtId="3" fontId="34" fillId="47" borderId="38" xfId="286" applyNumberFormat="1" applyFont="1" applyFill="1" applyBorder="1" applyAlignment="1" applyProtection="1">
      <alignment horizontal="center" vertical="center" wrapText="1"/>
      <protection/>
    </xf>
    <xf numFmtId="3" fontId="34" fillId="47" borderId="23" xfId="286" applyNumberFormat="1" applyFont="1" applyFill="1" applyBorder="1" applyAlignment="1" applyProtection="1">
      <alignment horizontal="center" vertical="center" wrapText="1"/>
      <protection/>
    </xf>
    <xf numFmtId="49" fontId="7" fillId="0" borderId="20" xfId="286" applyNumberFormat="1" applyFont="1" applyFill="1" applyBorder="1" applyAlignment="1" applyProtection="1">
      <alignment horizontal="center" vertical="center" wrapText="1"/>
      <protection/>
    </xf>
    <xf numFmtId="3" fontId="7" fillId="47" borderId="21" xfId="286" applyNumberFormat="1" applyFont="1" applyFill="1" applyBorder="1" applyAlignment="1" applyProtection="1">
      <alignment horizontal="center" vertical="center" wrapText="1"/>
      <protection/>
    </xf>
    <xf numFmtId="3" fontId="7" fillId="47" borderId="23" xfId="286" applyNumberFormat="1" applyFont="1" applyFill="1" applyBorder="1" applyAlignment="1" applyProtection="1">
      <alignment horizontal="center" vertical="center" wrapText="1"/>
      <protection/>
    </xf>
    <xf numFmtId="49" fontId="14" fillId="47" borderId="0" xfId="286" applyNumberFormat="1" applyFont="1" applyFill="1" applyAlignment="1">
      <alignment horizontal="center" vertical="center" wrapText="1"/>
      <protection/>
    </xf>
    <xf numFmtId="49" fontId="3" fillId="0" borderId="0" xfId="286" applyNumberFormat="1" applyFont="1" applyAlignment="1">
      <alignment horizontal="left"/>
      <protection/>
    </xf>
    <xf numFmtId="49" fontId="33" fillId="0" borderId="0" xfId="286" applyNumberFormat="1" applyFont="1" applyAlignment="1">
      <alignment horizontal="center"/>
      <protection/>
    </xf>
    <xf numFmtId="49" fontId="0" fillId="0" borderId="0" xfId="286" applyNumberFormat="1" applyFont="1" applyAlignment="1">
      <alignment horizontal="left"/>
      <protection/>
    </xf>
    <xf numFmtId="49" fontId="3" fillId="0" borderId="0" xfId="286" applyNumberFormat="1" applyFont="1" applyBorder="1" applyAlignment="1">
      <alignment horizontal="left" wrapText="1"/>
      <protection/>
    </xf>
    <xf numFmtId="49" fontId="0" fillId="0" borderId="0" xfId="286" applyNumberFormat="1" applyFont="1" applyBorder="1" applyAlignment="1">
      <alignment horizontal="left" wrapText="1"/>
      <protection/>
    </xf>
    <xf numFmtId="49" fontId="18" fillId="0" borderId="0" xfId="286" applyNumberFormat="1" applyFont="1" applyAlignment="1">
      <alignment horizontal="left"/>
      <protection/>
    </xf>
    <xf numFmtId="49" fontId="7" fillId="44" borderId="26" xfId="286" applyNumberFormat="1" applyFont="1" applyFill="1" applyBorder="1" applyAlignment="1">
      <alignment horizontal="center" vertical="center"/>
      <protection/>
    </xf>
    <xf numFmtId="49" fontId="7" fillId="44" borderId="25" xfId="286" applyNumberFormat="1" applyFont="1" applyFill="1" applyBorder="1" applyAlignment="1">
      <alignment horizontal="center" vertical="center"/>
      <protection/>
    </xf>
    <xf numFmtId="49" fontId="31" fillId="0" borderId="0" xfId="286" applyNumberFormat="1" applyFont="1" applyBorder="1" applyAlignment="1">
      <alignment horizontal="center" wrapText="1"/>
      <protection/>
    </xf>
    <xf numFmtId="49" fontId="7" fillId="0" borderId="26" xfId="286" applyNumberFormat="1" applyFont="1" applyFill="1" applyBorder="1" applyAlignment="1">
      <alignment horizontal="center" vertical="center" wrapText="1"/>
      <protection/>
    </xf>
    <xf numFmtId="49" fontId="27" fillId="0" borderId="25" xfId="286" applyNumberFormat="1" applyFont="1" applyFill="1" applyBorder="1" applyAlignment="1">
      <alignment horizontal="center" vertical="center" wrapText="1"/>
      <protection/>
    </xf>
    <xf numFmtId="0" fontId="25" fillId="0" borderId="0" xfId="286" applyFont="1" applyAlignment="1">
      <alignment horizontal="center"/>
      <protection/>
    </xf>
    <xf numFmtId="49" fontId="25" fillId="47" borderId="0" xfId="286" applyNumberFormat="1" applyFont="1" applyFill="1" applyAlignment="1">
      <alignment horizontal="center"/>
      <protection/>
    </xf>
    <xf numFmtId="49" fontId="7" fillId="0" borderId="25" xfId="286" applyNumberFormat="1" applyFont="1" applyFill="1" applyBorder="1" applyAlignment="1">
      <alignment horizontal="center" vertical="center" wrapText="1"/>
      <protection/>
    </xf>
    <xf numFmtId="0" fontId="55" fillId="3" borderId="26" xfId="286" applyNumberFormat="1" applyFont="1" applyFill="1" applyBorder="1" applyAlignment="1">
      <alignment horizontal="center" vertical="center" wrapText="1"/>
      <protection/>
    </xf>
    <xf numFmtId="0" fontId="55" fillId="3" borderId="25" xfId="286" applyNumberFormat="1" applyFont="1" applyFill="1" applyBorder="1" applyAlignment="1">
      <alignment horizontal="center" vertical="center" wrapText="1"/>
      <protection/>
    </xf>
    <xf numFmtId="0" fontId="56" fillId="3" borderId="26" xfId="286" applyNumberFormat="1" applyFont="1" applyFill="1" applyBorder="1" applyAlignment="1">
      <alignment horizontal="center" vertical="center" wrapText="1"/>
      <protection/>
    </xf>
    <xf numFmtId="0" fontId="56" fillId="3" borderId="25" xfId="286" applyNumberFormat="1" applyFont="1" applyFill="1" applyBorder="1" applyAlignment="1">
      <alignment horizontal="center" vertical="center" wrapText="1"/>
      <protection/>
    </xf>
    <xf numFmtId="0" fontId="16" fillId="0" borderId="20" xfId="286" applyNumberFormat="1" applyFont="1" applyBorder="1" applyAlignment="1">
      <alignment horizontal="center" vertical="center" wrapText="1"/>
      <protection/>
    </xf>
    <xf numFmtId="0" fontId="7" fillId="0" borderId="35" xfId="286" applyNumberFormat="1" applyFont="1" applyBorder="1" applyAlignment="1">
      <alignment horizontal="center" vertical="center" wrapText="1"/>
      <protection/>
    </xf>
    <xf numFmtId="0" fontId="7" fillId="0" borderId="36" xfId="286" applyNumberFormat="1" applyFont="1" applyBorder="1" applyAlignment="1">
      <alignment horizontal="center" vertical="center" wrapText="1"/>
      <protection/>
    </xf>
    <xf numFmtId="0" fontId="7" fillId="0" borderId="24" xfId="286" applyNumberFormat="1" applyFont="1" applyBorder="1" applyAlignment="1">
      <alignment horizontal="center" vertical="center" wrapText="1"/>
      <protection/>
    </xf>
    <xf numFmtId="0" fontId="7" fillId="0" borderId="40" xfId="286" applyNumberFormat="1" applyFont="1" applyBorder="1" applyAlignment="1">
      <alignment horizontal="center" vertical="center" wrapText="1"/>
      <protection/>
    </xf>
    <xf numFmtId="49" fontId="3" fillId="0" borderId="0" xfId="286" applyNumberFormat="1" applyFont="1" applyFill="1" applyAlignment="1">
      <alignment horizontal="left"/>
      <protection/>
    </xf>
    <xf numFmtId="49" fontId="6" fillId="0" borderId="20" xfId="286" applyNumberFormat="1" applyFont="1" applyFill="1" applyBorder="1" applyAlignment="1">
      <alignment horizontal="center" vertical="center" wrapText="1"/>
      <protection/>
    </xf>
    <xf numFmtId="49" fontId="6" fillId="0" borderId="26" xfId="286" applyNumberFormat="1" applyFont="1" applyFill="1" applyBorder="1" applyAlignment="1">
      <alignment horizontal="center" vertical="center" wrapText="1"/>
      <protection/>
    </xf>
    <xf numFmtId="49" fontId="6" fillId="0" borderId="41" xfId="286" applyNumberFormat="1" applyFont="1" applyFill="1" applyBorder="1" applyAlignment="1">
      <alignment horizontal="center" vertical="center" wrapText="1"/>
      <protection/>
    </xf>
    <xf numFmtId="49" fontId="6" fillId="0" borderId="25" xfId="286" applyNumberFormat="1" applyFont="1" applyFill="1" applyBorder="1" applyAlignment="1">
      <alignment horizontal="center" vertical="center" wrapText="1"/>
      <protection/>
    </xf>
    <xf numFmtId="49" fontId="18" fillId="0" borderId="0" xfId="286" applyNumberFormat="1" applyFont="1" applyFill="1" applyBorder="1" applyAlignment="1">
      <alignment horizontal="left"/>
      <protection/>
    </xf>
    <xf numFmtId="49" fontId="0" fillId="0" borderId="0" xfId="286" applyNumberFormat="1" applyFont="1" applyFill="1" applyAlignment="1">
      <alignment horizontal="justify" wrapText="1"/>
      <protection/>
    </xf>
    <xf numFmtId="49" fontId="3" fillId="0" borderId="0" xfId="286" applyNumberFormat="1" applyFont="1" applyFill="1" applyAlignment="1">
      <alignment horizontal="center" vertical="top" wrapText="1"/>
      <protection/>
    </xf>
    <xf numFmtId="49" fontId="7" fillId="44" borderId="26" xfId="286" applyNumberFormat="1" applyFont="1" applyFill="1" applyBorder="1" applyAlignment="1">
      <alignment horizontal="center"/>
      <protection/>
    </xf>
    <xf numFmtId="49" fontId="7" fillId="44" borderId="25" xfId="286" applyNumberFormat="1" applyFont="1" applyFill="1" applyBorder="1" applyAlignment="1">
      <alignment horizontal="center"/>
      <protection/>
    </xf>
    <xf numFmtId="49" fontId="21" fillId="0" borderId="26" xfId="286" applyNumberFormat="1" applyFont="1" applyFill="1" applyBorder="1" applyAlignment="1">
      <alignment horizontal="center" vertical="center" wrapText="1"/>
      <protection/>
    </xf>
    <xf numFmtId="49" fontId="21" fillId="0" borderId="25" xfId="286" applyNumberFormat="1" applyFont="1" applyFill="1" applyBorder="1" applyAlignment="1">
      <alignment horizontal="center" vertical="center" wrapText="1"/>
      <protection/>
    </xf>
    <xf numFmtId="0" fontId="6" fillId="0" borderId="35" xfId="286" applyNumberFormat="1" applyFont="1" applyFill="1" applyBorder="1" applyAlignment="1">
      <alignment horizontal="center" vertical="center" wrapText="1"/>
      <protection/>
    </xf>
    <xf numFmtId="0" fontId="6" fillId="0" borderId="36" xfId="286" applyNumberFormat="1" applyFont="1" applyFill="1" applyBorder="1" applyAlignment="1">
      <alignment horizontal="center" vertical="center" wrapText="1"/>
      <protection/>
    </xf>
    <xf numFmtId="0" fontId="6" fillId="0" borderId="24" xfId="286" applyNumberFormat="1" applyFont="1" applyFill="1" applyBorder="1" applyAlignment="1">
      <alignment horizontal="center" vertical="center" wrapText="1"/>
      <protection/>
    </xf>
    <xf numFmtId="0" fontId="6" fillId="0" borderId="40" xfId="286" applyNumberFormat="1" applyFont="1" applyFill="1" applyBorder="1" applyAlignment="1">
      <alignment horizontal="center" vertical="center" wrapText="1"/>
      <protection/>
    </xf>
    <xf numFmtId="0" fontId="6" fillId="0" borderId="27" xfId="286" applyNumberFormat="1" applyFont="1" applyFill="1" applyBorder="1" applyAlignment="1">
      <alignment horizontal="center" vertical="center" wrapText="1"/>
      <protection/>
    </xf>
    <xf numFmtId="0" fontId="6" fillId="0" borderId="37" xfId="286" applyNumberFormat="1" applyFont="1" applyFill="1" applyBorder="1" applyAlignment="1">
      <alignment horizontal="center" vertical="center" wrapText="1"/>
      <protection/>
    </xf>
    <xf numFmtId="49" fontId="6" fillId="0" borderId="38" xfId="286" applyNumberFormat="1" applyFont="1" applyFill="1" applyBorder="1" applyAlignment="1">
      <alignment horizontal="center" vertical="center" wrapText="1"/>
      <protection/>
    </xf>
    <xf numFmtId="49" fontId="6" fillId="0" borderId="23" xfId="286" applyNumberFormat="1" applyFont="1" applyFill="1" applyBorder="1" applyAlignment="1">
      <alignment horizontal="center" vertical="center" wrapText="1"/>
      <protection/>
    </xf>
    <xf numFmtId="49" fontId="68" fillId="3" borderId="26" xfId="286" applyNumberFormat="1" applyFont="1" applyFill="1" applyBorder="1" applyAlignment="1">
      <alignment horizontal="center" vertical="center" wrapText="1"/>
      <protection/>
    </xf>
    <xf numFmtId="49" fontId="68" fillId="3" borderId="25" xfId="286" applyNumberFormat="1" applyFont="1" applyFill="1" applyBorder="1" applyAlignment="1">
      <alignment horizontal="center" vertical="center" wrapText="1"/>
      <protection/>
    </xf>
    <xf numFmtId="49" fontId="67" fillId="3" borderId="26" xfId="286" applyNumberFormat="1" applyFont="1" applyFill="1" applyBorder="1" applyAlignment="1">
      <alignment horizontal="center" vertical="center" wrapText="1"/>
      <protection/>
    </xf>
    <xf numFmtId="49" fontId="67" fillId="3" borderId="25" xfId="286" applyNumberFormat="1" applyFont="1" applyFill="1" applyBorder="1" applyAlignment="1">
      <alignment horizontal="center" vertical="center" wrapText="1"/>
      <protection/>
    </xf>
    <xf numFmtId="49" fontId="3" fillId="0" borderId="20" xfId="286" applyNumberFormat="1" applyFont="1" applyFill="1" applyBorder="1" applyAlignment="1">
      <alignment horizontal="center"/>
      <protection/>
    </xf>
    <xf numFmtId="49" fontId="0" fillId="0" borderId="0" xfId="286" applyNumberFormat="1" applyFont="1" applyFill="1" applyBorder="1" applyAlignment="1">
      <alignment horizontal="left"/>
      <protection/>
    </xf>
    <xf numFmtId="49" fontId="3" fillId="0" borderId="0" xfId="286" applyNumberFormat="1" applyFont="1" applyFill="1" applyBorder="1" applyAlignment="1">
      <alignment horizontal="left"/>
      <protection/>
    </xf>
    <xf numFmtId="49" fontId="3" fillId="0" borderId="0" xfId="286" applyNumberFormat="1" applyFont="1" applyFill="1" applyBorder="1" applyAlignment="1">
      <alignment horizontal="left" wrapText="1"/>
      <protection/>
    </xf>
    <xf numFmtId="49" fontId="0" fillId="0" borderId="0" xfId="286" applyNumberFormat="1" applyFont="1" applyFill="1" applyBorder="1" applyAlignment="1">
      <alignment horizontal="left" wrapText="1"/>
      <protection/>
    </xf>
    <xf numFmtId="49" fontId="6" fillId="0" borderId="22" xfId="286" applyNumberFormat="1" applyFont="1" applyFill="1" applyBorder="1" applyAlignment="1">
      <alignment horizontal="center" vertical="center" wrapText="1"/>
      <protection/>
    </xf>
    <xf numFmtId="49" fontId="15" fillId="0" borderId="0" xfId="286" applyNumberFormat="1" applyFont="1" applyFill="1" applyBorder="1" applyAlignment="1">
      <alignment horizontal="center" vertical="center" wrapText="1"/>
      <protection/>
    </xf>
    <xf numFmtId="49" fontId="13" fillId="0" borderId="0" xfId="286" applyNumberFormat="1" applyFont="1" applyFill="1" applyAlignment="1">
      <alignment horizontal="left" wrapText="1"/>
      <protection/>
    </xf>
    <xf numFmtId="49" fontId="13" fillId="0" borderId="0" xfId="286" applyNumberFormat="1" applyFont="1" applyFill="1" applyAlignment="1">
      <alignment horizontal="center" wrapText="1"/>
      <protection/>
    </xf>
    <xf numFmtId="0" fontId="3" fillId="0" borderId="0" xfId="286" applyFont="1" applyAlignment="1">
      <alignment horizontal="center"/>
      <protection/>
    </xf>
    <xf numFmtId="49" fontId="3" fillId="47" borderId="0" xfId="286" applyNumberFormat="1" applyFont="1" applyFill="1" applyAlignment="1">
      <alignment horizontal="center"/>
      <protection/>
    </xf>
    <xf numFmtId="49" fontId="23" fillId="0" borderId="0" xfId="286" applyNumberFormat="1" applyFont="1" applyFill="1" applyBorder="1" applyAlignment="1">
      <alignment horizontal="center" wrapText="1"/>
      <protection/>
    </xf>
    <xf numFmtId="49" fontId="15" fillId="0" borderId="0" xfId="286" applyNumberFormat="1" applyFont="1" applyFill="1" applyBorder="1" applyAlignment="1">
      <alignment horizontal="center" wrapText="1"/>
      <protection/>
    </xf>
    <xf numFmtId="49" fontId="71" fillId="0" borderId="0" xfId="286" applyNumberFormat="1" applyFont="1" applyFill="1" applyAlignment="1">
      <alignment horizontal="center"/>
      <protection/>
    </xf>
    <xf numFmtId="49" fontId="18" fillId="0" borderId="0" xfId="286" applyNumberFormat="1" applyFont="1" applyFill="1" applyAlignment="1">
      <alignment horizontal="center"/>
      <protection/>
    </xf>
    <xf numFmtId="49" fontId="3" fillId="0" borderId="20" xfId="286" applyNumberFormat="1" applyFont="1" applyFill="1" applyBorder="1" applyAlignment="1">
      <alignment horizontal="center" vertical="center" wrapText="1"/>
      <protection/>
    </xf>
    <xf numFmtId="49" fontId="20" fillId="0" borderId="20" xfId="286" applyNumberFormat="1" applyFont="1" applyFill="1" applyBorder="1" applyAlignment="1">
      <alignment horizontal="center" vertical="center" wrapText="1"/>
      <protection/>
    </xf>
    <xf numFmtId="49" fontId="3" fillId="0" borderId="20" xfId="286" applyNumberFormat="1" applyFont="1" applyBorder="1" applyAlignment="1">
      <alignment horizontal="center"/>
      <protection/>
    </xf>
    <xf numFmtId="49" fontId="14" fillId="0" borderId="0" xfId="286" applyNumberFormat="1" applyFont="1" applyAlignment="1">
      <alignment horizontal="center" wrapText="1"/>
      <protection/>
    </xf>
    <xf numFmtId="49" fontId="18" fillId="0" borderId="22" xfId="286" applyNumberFormat="1" applyFont="1" applyBorder="1" applyAlignment="1">
      <alignment horizontal="left"/>
      <protection/>
    </xf>
    <xf numFmtId="49" fontId="18" fillId="0" borderId="0" xfId="286" applyNumberFormat="1" applyFont="1" applyAlignment="1">
      <alignment horizontal="center"/>
      <protection/>
    </xf>
    <xf numFmtId="49" fontId="18" fillId="0" borderId="0" xfId="286" applyNumberFormat="1" applyFont="1" applyBorder="1" applyAlignment="1">
      <alignment horizontal="left"/>
      <protection/>
    </xf>
    <xf numFmtId="49" fontId="0" fillId="0" borderId="0" xfId="286" applyNumberFormat="1" applyFont="1" applyAlignment="1">
      <alignment horizontal="left" wrapText="1"/>
      <protection/>
    </xf>
    <xf numFmtId="49" fontId="3" fillId="0" borderId="0" xfId="286" applyNumberFormat="1" applyFont="1" applyAlignment="1">
      <alignment horizontal="left" wrapText="1"/>
      <protection/>
    </xf>
    <xf numFmtId="49" fontId="0" fillId="0" borderId="0" xfId="286" applyNumberFormat="1" applyFont="1" applyAlignment="1">
      <alignment/>
      <protection/>
    </xf>
    <xf numFmtId="49" fontId="31" fillId="0" borderId="0" xfId="286" applyNumberFormat="1" applyFont="1" applyBorder="1" applyAlignment="1">
      <alignment horizontal="center"/>
      <protection/>
    </xf>
    <xf numFmtId="49" fontId="25" fillId="0" borderId="0" xfId="286" applyNumberFormat="1" applyFont="1" applyBorder="1" applyAlignment="1">
      <alignment horizontal="center"/>
      <protection/>
    </xf>
    <xf numFmtId="49" fontId="7" fillId="0" borderId="35" xfId="286" applyNumberFormat="1" applyFont="1" applyFill="1" applyBorder="1" applyAlignment="1">
      <alignment horizontal="center" vertical="center" wrapText="1"/>
      <protection/>
    </xf>
    <xf numFmtId="49" fontId="7" fillId="0" borderId="36" xfId="286" applyNumberFormat="1" applyFont="1" applyFill="1" applyBorder="1" applyAlignment="1">
      <alignment horizontal="center" vertical="center" wrapText="1"/>
      <protection/>
    </xf>
    <xf numFmtId="49" fontId="7" fillId="0" borderId="24" xfId="286" applyNumberFormat="1" applyFont="1" applyFill="1" applyBorder="1" applyAlignment="1">
      <alignment horizontal="center" vertical="center" wrapText="1"/>
      <protection/>
    </xf>
    <xf numFmtId="49" fontId="7" fillId="0" borderId="40" xfId="286" applyNumberFormat="1" applyFont="1" applyFill="1" applyBorder="1" applyAlignment="1">
      <alignment horizontal="center" vertical="center" wrapText="1"/>
      <protection/>
    </xf>
    <xf numFmtId="49" fontId="7" fillId="0" borderId="27" xfId="286" applyNumberFormat="1" applyFont="1" applyFill="1" applyBorder="1" applyAlignment="1">
      <alignment horizontal="center" vertical="center" wrapText="1"/>
      <protection/>
    </xf>
    <xf numFmtId="49" fontId="7" fillId="0" borderId="37" xfId="286" applyNumberFormat="1" applyFont="1" applyFill="1" applyBorder="1" applyAlignment="1">
      <alignment horizontal="center" vertical="center" wrapText="1"/>
      <protection/>
    </xf>
    <xf numFmtId="49" fontId="56" fillId="3" borderId="26" xfId="286" applyNumberFormat="1" applyFont="1" applyFill="1" applyBorder="1" applyAlignment="1">
      <alignment horizontal="center" wrapText="1"/>
      <protection/>
    </xf>
    <xf numFmtId="49" fontId="56" fillId="3" borderId="25" xfId="286" applyNumberFormat="1" applyFont="1" applyFill="1" applyBorder="1" applyAlignment="1">
      <alignment horizontal="center" wrapText="1"/>
      <protection/>
    </xf>
    <xf numFmtId="49" fontId="55" fillId="3" borderId="26" xfId="286" applyNumberFormat="1" applyFont="1" applyFill="1" applyBorder="1" applyAlignment="1">
      <alignment horizontal="center" wrapText="1"/>
      <protection/>
    </xf>
    <xf numFmtId="49" fontId="55" fillId="3" borderId="25" xfId="286" applyNumberFormat="1" applyFont="1" applyFill="1" applyBorder="1" applyAlignment="1">
      <alignment horizontal="center" wrapText="1"/>
      <protection/>
    </xf>
    <xf numFmtId="49" fontId="13" fillId="0" borderId="0" xfId="286" applyNumberFormat="1" applyFont="1" applyBorder="1" applyAlignment="1">
      <alignment wrapText="1"/>
      <protection/>
    </xf>
    <xf numFmtId="49" fontId="13" fillId="0" borderId="0" xfId="286" applyNumberFormat="1" applyFont="1" applyBorder="1" applyAlignment="1">
      <alignment horizontal="center" wrapText="1"/>
      <protection/>
    </xf>
    <xf numFmtId="49" fontId="7" fillId="44" borderId="26" xfId="286" applyNumberFormat="1" applyFont="1" applyFill="1" applyBorder="1" applyAlignment="1">
      <alignment horizontal="center" vertical="center" wrapText="1"/>
      <protection/>
    </xf>
    <xf numFmtId="49" fontId="7" fillId="44" borderId="25" xfId="286" applyNumberFormat="1" applyFont="1" applyFill="1" applyBorder="1" applyAlignment="1">
      <alignment horizontal="center" vertical="center" wrapText="1"/>
      <protection/>
    </xf>
    <xf numFmtId="49" fontId="16" fillId="0" borderId="26" xfId="286" applyNumberFormat="1" applyFont="1" applyBorder="1" applyAlignment="1">
      <alignment horizontal="center" wrapText="1"/>
      <protection/>
    </xf>
    <xf numFmtId="49" fontId="16" fillId="0" borderId="25" xfId="286" applyNumberFormat="1" applyFont="1" applyBorder="1" applyAlignment="1">
      <alignment horizontal="center" wrapText="1"/>
      <protection/>
    </xf>
    <xf numFmtId="49" fontId="28" fillId="0" borderId="0" xfId="286" applyNumberFormat="1" applyFont="1" applyBorder="1" applyAlignment="1">
      <alignment horizontal="center" wrapText="1"/>
      <protection/>
    </xf>
    <xf numFmtId="49" fontId="28" fillId="0" borderId="0" xfId="286" applyNumberFormat="1" applyFont="1" applyAlignment="1">
      <alignment horizontal="center"/>
      <protection/>
    </xf>
    <xf numFmtId="49" fontId="6" fillId="0" borderId="20" xfId="288" applyNumberFormat="1" applyFont="1" applyFill="1" applyBorder="1" applyAlignment="1">
      <alignment horizontal="center" vertical="center" wrapText="1"/>
      <protection/>
    </xf>
    <xf numFmtId="49" fontId="85" fillId="3" borderId="26" xfId="288" applyNumberFormat="1" applyFont="1" applyFill="1" applyBorder="1" applyAlignment="1">
      <alignment horizontal="center" vertical="center" wrapText="1"/>
      <protection/>
    </xf>
    <xf numFmtId="49" fontId="85" fillId="3" borderId="25" xfId="288" applyNumberFormat="1" applyFont="1" applyFill="1" applyBorder="1" applyAlignment="1">
      <alignment horizontal="center" vertical="center" wrapText="1"/>
      <protection/>
    </xf>
    <xf numFmtId="49" fontId="6" fillId="0" borderId="25" xfId="288" applyNumberFormat="1" applyFont="1" applyFill="1" applyBorder="1" applyAlignment="1">
      <alignment horizontal="center" vertical="center" wrapText="1"/>
      <protection/>
    </xf>
    <xf numFmtId="49" fontId="3" fillId="0" borderId="0" xfId="288" applyNumberFormat="1" applyFont="1" applyBorder="1" applyAlignment="1">
      <alignment horizontal="left"/>
      <protection/>
    </xf>
    <xf numFmtId="49" fontId="6" fillId="0" borderId="35" xfId="288" applyNumberFormat="1" applyFont="1" applyFill="1" applyBorder="1" applyAlignment="1">
      <alignment horizontal="center" vertical="center"/>
      <protection/>
    </xf>
    <xf numFmtId="49" fontId="6" fillId="0" borderId="36" xfId="288" applyNumberFormat="1" applyFont="1" applyFill="1" applyBorder="1" applyAlignment="1">
      <alignment horizontal="center" vertical="center"/>
      <protection/>
    </xf>
    <xf numFmtId="49" fontId="6" fillId="0" borderId="24" xfId="288" applyNumberFormat="1" applyFont="1" applyFill="1" applyBorder="1" applyAlignment="1">
      <alignment horizontal="center" vertical="center"/>
      <protection/>
    </xf>
    <xf numFmtId="49" fontId="6" fillId="0" borderId="40" xfId="288" applyNumberFormat="1" applyFont="1" applyFill="1" applyBorder="1" applyAlignment="1">
      <alignment horizontal="center" vertical="center"/>
      <protection/>
    </xf>
    <xf numFmtId="49" fontId="6" fillId="0" borderId="27" xfId="288" applyNumberFormat="1" applyFont="1" applyFill="1" applyBorder="1" applyAlignment="1">
      <alignment horizontal="center" vertical="center"/>
      <protection/>
    </xf>
    <xf numFmtId="49" fontId="6" fillId="0" borderId="37" xfId="288" applyNumberFormat="1" applyFont="1" applyFill="1" applyBorder="1" applyAlignment="1">
      <alignment horizontal="center" vertical="center"/>
      <protection/>
    </xf>
    <xf numFmtId="49" fontId="14" fillId="0" borderId="0" xfId="288" applyNumberFormat="1" applyFont="1" applyFill="1" applyAlignment="1">
      <alignment horizontal="center" wrapText="1"/>
      <protection/>
    </xf>
    <xf numFmtId="49" fontId="14" fillId="0" borderId="0" xfId="288" applyNumberFormat="1" applyFont="1" applyAlignment="1">
      <alignment horizontal="center"/>
      <protection/>
    </xf>
    <xf numFmtId="49" fontId="4" fillId="0" borderId="0" xfId="288" applyNumberFormat="1" applyFont="1" applyAlignment="1">
      <alignment horizontal="left"/>
      <protection/>
    </xf>
    <xf numFmtId="49" fontId="6" fillId="0" borderId="26" xfId="288" applyNumberFormat="1" applyFont="1" applyFill="1" applyBorder="1" applyAlignment="1">
      <alignment horizontal="center" vertical="center"/>
      <protection/>
    </xf>
    <xf numFmtId="49" fontId="6" fillId="0" borderId="41" xfId="288" applyNumberFormat="1" applyFont="1" applyFill="1" applyBorder="1" applyAlignment="1">
      <alignment horizontal="center" vertical="center"/>
      <protection/>
    </xf>
    <xf numFmtId="49" fontId="3" fillId="0" borderId="0" xfId="288" applyNumberFormat="1" applyFont="1" applyFill="1" applyAlignment="1">
      <alignment horizontal="left"/>
      <protection/>
    </xf>
    <xf numFmtId="49" fontId="33" fillId="0" borderId="0" xfId="288" applyNumberFormat="1" applyFont="1" applyAlignment="1">
      <alignment horizontal="center"/>
      <protection/>
    </xf>
    <xf numFmtId="49" fontId="18" fillId="0" borderId="0" xfId="288" applyNumberFormat="1" applyFont="1" applyBorder="1" applyAlignment="1">
      <alignment horizontal="left"/>
      <protection/>
    </xf>
    <xf numFmtId="49" fontId="6" fillId="0" borderId="26" xfId="288" applyNumberFormat="1" applyFont="1" applyFill="1" applyBorder="1" applyAlignment="1">
      <alignment horizontal="center" vertical="center" wrapText="1"/>
      <protection/>
    </xf>
    <xf numFmtId="49" fontId="86" fillId="3" borderId="26" xfId="288" applyNumberFormat="1" applyFont="1" applyFill="1" applyBorder="1" applyAlignment="1">
      <alignment horizontal="center" vertical="center" wrapText="1"/>
      <protection/>
    </xf>
    <xf numFmtId="49" fontId="86" fillId="3" borderId="25" xfId="288" applyNumberFormat="1" applyFont="1" applyFill="1" applyBorder="1" applyAlignment="1">
      <alignment horizontal="center" vertical="center" wrapText="1"/>
      <protection/>
    </xf>
    <xf numFmtId="49" fontId="28" fillId="0" borderId="0" xfId="288" applyNumberFormat="1" applyFont="1" applyAlignment="1">
      <alignment horizontal="center"/>
      <protection/>
    </xf>
    <xf numFmtId="0" fontId="25" fillId="47" borderId="0" xfId="288" applyFont="1" applyFill="1" applyBorder="1" applyAlignment="1">
      <alignment horizontal="center"/>
      <protection/>
    </xf>
    <xf numFmtId="49" fontId="31" fillId="0" borderId="0" xfId="288" applyNumberFormat="1" applyFont="1" applyAlignment="1">
      <alignment horizontal="center"/>
      <protection/>
    </xf>
    <xf numFmtId="49" fontId="25" fillId="0" borderId="0" xfId="288" applyNumberFormat="1" applyFont="1" applyBorder="1" applyAlignment="1">
      <alignment horizontal="center" wrapText="1"/>
      <protection/>
    </xf>
    <xf numFmtId="49" fontId="6" fillId="0" borderId="26" xfId="288" applyNumberFormat="1" applyFont="1" applyBorder="1" applyAlignment="1">
      <alignment horizontal="center" vertical="center" wrapText="1"/>
      <protection/>
    </xf>
    <xf numFmtId="49" fontId="6" fillId="0" borderId="25" xfId="288" applyNumberFormat="1" applyFont="1" applyBorder="1" applyAlignment="1">
      <alignment horizontal="center" vertical="center" wrapText="1"/>
      <protection/>
    </xf>
    <xf numFmtId="49" fontId="25" fillId="0" borderId="0" xfId="288" applyNumberFormat="1" applyFont="1" applyBorder="1" applyAlignment="1">
      <alignment horizontal="center"/>
      <protection/>
    </xf>
    <xf numFmtId="49" fontId="76" fillId="4" borderId="21" xfId="288" applyNumberFormat="1" applyFont="1" applyFill="1" applyBorder="1" applyAlignment="1">
      <alignment horizontal="center" vertical="center" wrapText="1"/>
      <protection/>
    </xf>
    <xf numFmtId="49" fontId="76" fillId="4" borderId="38" xfId="288" applyNumberFormat="1" applyFont="1" applyFill="1" applyBorder="1" applyAlignment="1">
      <alignment horizontal="center" vertical="center" wrapText="1"/>
      <protection/>
    </xf>
    <xf numFmtId="49" fontId="76" fillId="4" borderId="23" xfId="288" applyNumberFormat="1" applyFont="1" applyFill="1" applyBorder="1" applyAlignment="1">
      <alignment horizontal="center" vertical="center" wrapText="1"/>
      <protection/>
    </xf>
    <xf numFmtId="49" fontId="0" fillId="0" borderId="0" xfId="288" applyNumberFormat="1" applyFont="1" applyAlignment="1">
      <alignment horizontal="left"/>
      <protection/>
    </xf>
    <xf numFmtId="49" fontId="84" fillId="0" borderId="26" xfId="288" applyNumberFormat="1" applyFont="1" applyBorder="1" applyAlignment="1">
      <alignment horizontal="center" vertical="center" wrapText="1"/>
      <protection/>
    </xf>
    <xf numFmtId="49" fontId="84" fillId="0" borderId="25" xfId="288" applyNumberFormat="1" applyFont="1" applyBorder="1" applyAlignment="1">
      <alignment horizontal="center" vertical="center" wrapText="1"/>
      <protection/>
    </xf>
    <xf numFmtId="49" fontId="31" fillId="0" borderId="0" xfId="288" applyNumberFormat="1" applyFont="1" applyBorder="1" applyAlignment="1">
      <alignment horizontal="center" wrapText="1"/>
      <protection/>
    </xf>
    <xf numFmtId="49" fontId="6" fillId="0" borderId="21" xfId="288" applyNumberFormat="1" applyFont="1" applyFill="1" applyBorder="1" applyAlignment="1">
      <alignment horizontal="center" vertical="center" wrapText="1"/>
      <protection/>
    </xf>
    <xf numFmtId="49" fontId="6" fillId="0" borderId="38" xfId="288" applyNumberFormat="1" applyFont="1" applyFill="1" applyBorder="1" applyAlignment="1">
      <alignment horizontal="center" vertical="center" wrapText="1"/>
      <protection/>
    </xf>
    <xf numFmtId="49" fontId="6" fillId="0" borderId="23" xfId="288" applyNumberFormat="1" applyFont="1" applyFill="1" applyBorder="1" applyAlignment="1">
      <alignment horizontal="center" vertical="center" wrapText="1"/>
      <protection/>
    </xf>
    <xf numFmtId="49" fontId="13" fillId="0" borderId="0" xfId="288" applyNumberFormat="1" applyFont="1" applyAlignment="1">
      <alignment horizontal="center"/>
      <protection/>
    </xf>
    <xf numFmtId="49" fontId="31" fillId="0" borderId="0" xfId="288" applyNumberFormat="1" applyFont="1" applyBorder="1" applyAlignment="1">
      <alignment horizontal="center"/>
      <protection/>
    </xf>
    <xf numFmtId="0" fontId="12" fillId="0" borderId="20" xfId="288" applyFont="1" applyBorder="1" applyAlignment="1">
      <alignment horizontal="center" vertical="center" wrapText="1"/>
      <protection/>
    </xf>
    <xf numFmtId="0" fontId="6" fillId="0" borderId="20" xfId="288" applyFont="1" applyBorder="1" applyAlignment="1">
      <alignment horizontal="center" vertical="center" wrapText="1"/>
      <protection/>
    </xf>
    <xf numFmtId="3" fontId="0" fillId="47" borderId="0" xfId="288" applyNumberFormat="1" applyFont="1" applyFill="1" applyBorder="1" applyAlignment="1">
      <alignment horizontal="left"/>
      <protection/>
    </xf>
    <xf numFmtId="0" fontId="3" fillId="0" borderId="0" xfId="288" applyFont="1" applyBorder="1" applyAlignment="1">
      <alignment horizontal="left"/>
      <protection/>
    </xf>
    <xf numFmtId="0" fontId="0" fillId="0" borderId="0" xfId="288" applyFont="1" applyBorder="1" applyAlignment="1">
      <alignment horizontal="left"/>
      <protection/>
    </xf>
    <xf numFmtId="0" fontId="6" fillId="0" borderId="20" xfId="288" applyFont="1" applyFill="1" applyBorder="1" applyAlignment="1">
      <alignment horizontal="center" vertical="center" wrapText="1"/>
      <protection/>
    </xf>
    <xf numFmtId="0" fontId="88" fillId="0" borderId="0" xfId="288" applyFont="1" applyAlignment="1">
      <alignment horizontal="center"/>
      <protection/>
    </xf>
    <xf numFmtId="0" fontId="3" fillId="0" borderId="0" xfId="288" applyNumberFormat="1" applyFont="1" applyAlignment="1">
      <alignment horizontal="left"/>
      <protection/>
    </xf>
    <xf numFmtId="0" fontId="0" fillId="0" borderId="0" xfId="288" applyFont="1" applyAlignment="1">
      <alignment horizontal="left"/>
      <protection/>
    </xf>
    <xf numFmtId="0" fontId="0" fillId="0" borderId="0" xfId="288" applyFont="1" applyBorder="1" applyAlignment="1">
      <alignment/>
      <protection/>
    </xf>
    <xf numFmtId="0" fontId="14" fillId="0" borderId="0" xfId="288" applyFont="1" applyAlignment="1">
      <alignment horizontal="center" wrapText="1"/>
      <protection/>
    </xf>
    <xf numFmtId="0" fontId="13" fillId="0" borderId="0" xfId="288" applyFont="1" applyBorder="1" applyAlignment="1">
      <alignment horizontal="center"/>
      <protection/>
    </xf>
    <xf numFmtId="0" fontId="14" fillId="0" borderId="0" xfId="288" applyFont="1" applyAlignment="1">
      <alignment horizontal="center"/>
      <protection/>
    </xf>
    <xf numFmtId="0" fontId="33" fillId="0" borderId="0" xfId="288" applyFont="1" applyAlignment="1">
      <alignment horizontal="center"/>
      <protection/>
    </xf>
    <xf numFmtId="0" fontId="68" fillId="3" borderId="26" xfId="288" applyFont="1" applyFill="1" applyBorder="1" applyAlignment="1">
      <alignment horizontal="center" vertical="center" wrapText="1"/>
      <protection/>
    </xf>
    <xf numFmtId="0" fontId="68" fillId="3" borderId="25" xfId="288" applyFont="1" applyFill="1" applyBorder="1" applyAlignment="1">
      <alignment horizontal="center" vertical="center" wrapText="1"/>
      <protection/>
    </xf>
    <xf numFmtId="0" fontId="6" fillId="0" borderId="25" xfId="288" applyFont="1" applyBorder="1" applyAlignment="1">
      <alignment horizontal="center" vertical="center" wrapText="1"/>
      <protection/>
    </xf>
    <xf numFmtId="0" fontId="6" fillId="0" borderId="20" xfId="288" applyFont="1" applyBorder="1" applyAlignment="1">
      <alignment horizontal="center" vertical="center"/>
      <protection/>
    </xf>
    <xf numFmtId="0" fontId="31" fillId="0" borderId="0" xfId="288" applyNumberFormat="1" applyFont="1" applyBorder="1" applyAlignment="1">
      <alignment horizontal="center"/>
      <protection/>
    </xf>
    <xf numFmtId="0" fontId="31" fillId="0" borderId="0" xfId="288" applyFont="1" applyBorder="1" applyAlignment="1">
      <alignment horizontal="center" wrapText="1"/>
      <protection/>
    </xf>
    <xf numFmtId="0" fontId="25" fillId="0" borderId="0" xfId="288" applyFont="1" applyBorder="1" applyAlignment="1">
      <alignment horizontal="center" wrapText="1"/>
      <protection/>
    </xf>
    <xf numFmtId="0" fontId="25" fillId="0" borderId="0" xfId="288" applyNumberFormat="1" applyFont="1" applyBorder="1" applyAlignment="1">
      <alignment horizontal="center"/>
      <protection/>
    </xf>
    <xf numFmtId="0" fontId="6" fillId="0" borderId="26" xfId="288" applyFont="1" applyBorder="1" applyAlignment="1">
      <alignment horizontal="center" vertical="center" wrapText="1"/>
      <protection/>
    </xf>
    <xf numFmtId="0" fontId="13" fillId="0" borderId="22" xfId="288" applyFont="1" applyBorder="1" applyAlignment="1">
      <alignment horizontal="left"/>
      <protection/>
    </xf>
    <xf numFmtId="0" fontId="6" fillId="0" borderId="26" xfId="288" applyFont="1" applyBorder="1" applyAlignment="1">
      <alignment horizontal="center" vertical="center"/>
      <protection/>
    </xf>
    <xf numFmtId="0" fontId="6" fillId="0" borderId="41" xfId="288" applyFont="1" applyBorder="1" applyAlignment="1">
      <alignment horizontal="center" vertical="center"/>
      <protection/>
    </xf>
    <xf numFmtId="0" fontId="6" fillId="0" borderId="25" xfId="288" applyFont="1" applyBorder="1" applyAlignment="1">
      <alignment horizontal="center" vertical="center"/>
      <protection/>
    </xf>
    <xf numFmtId="0" fontId="67" fillId="3" borderId="26" xfId="288" applyFont="1" applyFill="1" applyBorder="1" applyAlignment="1">
      <alignment horizontal="center" vertical="center" wrapText="1"/>
      <protection/>
    </xf>
    <xf numFmtId="0" fontId="67" fillId="3" borderId="25" xfId="288" applyFont="1" applyFill="1" applyBorder="1" applyAlignment="1">
      <alignment horizontal="center" vertical="center" wrapText="1"/>
      <protection/>
    </xf>
    <xf numFmtId="0" fontId="6" fillId="0" borderId="35" xfId="288" applyFont="1" applyBorder="1" applyAlignment="1">
      <alignment horizontal="center" vertical="center" wrapText="1"/>
      <protection/>
    </xf>
    <xf numFmtId="0" fontId="6" fillId="0" borderId="19" xfId="288" applyFont="1" applyBorder="1" applyAlignment="1">
      <alignment horizontal="center" vertical="center" wrapText="1"/>
      <protection/>
    </xf>
    <xf numFmtId="0" fontId="6" fillId="0" borderId="36" xfId="288" applyFont="1" applyBorder="1" applyAlignment="1">
      <alignment horizontal="center" vertical="center" wrapText="1"/>
      <protection/>
    </xf>
    <xf numFmtId="0" fontId="6" fillId="0" borderId="24" xfId="288" applyFont="1" applyBorder="1" applyAlignment="1">
      <alignment horizontal="center" vertical="center" wrapText="1"/>
      <protection/>
    </xf>
    <xf numFmtId="0" fontId="6" fillId="0" borderId="0" xfId="288" applyFont="1" applyBorder="1" applyAlignment="1">
      <alignment horizontal="center" vertical="center" wrapText="1"/>
      <protection/>
    </xf>
    <xf numFmtId="0" fontId="6" fillId="0" borderId="40" xfId="288" applyFont="1" applyBorder="1" applyAlignment="1">
      <alignment horizontal="center" vertical="center" wrapText="1"/>
      <protection/>
    </xf>
    <xf numFmtId="0" fontId="6" fillId="0" borderId="21" xfId="288" applyFont="1" applyBorder="1" applyAlignment="1">
      <alignment horizontal="center" vertical="center" wrapText="1"/>
      <protection/>
    </xf>
    <xf numFmtId="0" fontId="6" fillId="0" borderId="38" xfId="288" applyFont="1" applyBorder="1" applyAlignment="1">
      <alignment horizontal="center" vertical="center" wrapText="1"/>
      <protection/>
    </xf>
    <xf numFmtId="0" fontId="6" fillId="0" borderId="23" xfId="288" applyFont="1" applyBorder="1" applyAlignment="1">
      <alignment horizontal="center" vertical="center" wrapText="1"/>
      <protection/>
    </xf>
    <xf numFmtId="0" fontId="21" fillId="0" borderId="26" xfId="288" applyFont="1" applyBorder="1" applyAlignment="1">
      <alignment horizontal="center" vertical="center" wrapText="1"/>
      <protection/>
    </xf>
    <xf numFmtId="0" fontId="21" fillId="0" borderId="25" xfId="288" applyFont="1" applyBorder="1" applyAlignment="1">
      <alignment horizontal="center" vertical="center" wrapText="1"/>
      <protection/>
    </xf>
    <xf numFmtId="49" fontId="6" fillId="0" borderId="19" xfId="288" applyNumberFormat="1" applyFont="1" applyFill="1" applyBorder="1" applyAlignment="1">
      <alignment horizontal="center" vertical="center"/>
      <protection/>
    </xf>
    <xf numFmtId="49" fontId="6" fillId="0" borderId="0" xfId="288" applyNumberFormat="1" applyFont="1" applyFill="1" applyBorder="1" applyAlignment="1">
      <alignment horizontal="center" vertical="center"/>
      <protection/>
    </xf>
    <xf numFmtId="49" fontId="6" fillId="0" borderId="22" xfId="288" applyNumberFormat="1" applyFont="1" applyFill="1" applyBorder="1" applyAlignment="1">
      <alignment horizontal="center" vertical="center"/>
      <protection/>
    </xf>
    <xf numFmtId="49" fontId="79" fillId="0" borderId="0" xfId="288" applyNumberFormat="1" applyFont="1" applyAlignment="1">
      <alignment horizontal="center"/>
      <protection/>
    </xf>
    <xf numFmtId="49" fontId="6" fillId="0" borderId="20" xfId="288" applyNumberFormat="1" applyFont="1" applyFill="1" applyBorder="1" applyAlignment="1">
      <alignment horizontal="center" vertical="center"/>
      <protection/>
    </xf>
    <xf numFmtId="49" fontId="77" fillId="3" borderId="26" xfId="288" applyNumberFormat="1" applyFont="1" applyFill="1" applyBorder="1" applyAlignment="1">
      <alignment horizontal="center" vertical="center" wrapText="1"/>
      <protection/>
    </xf>
    <xf numFmtId="49" fontId="77" fillId="3" borderId="25" xfId="288" applyNumberFormat="1" applyFont="1" applyFill="1" applyBorder="1" applyAlignment="1">
      <alignment horizontal="center" vertical="center" wrapText="1"/>
      <protection/>
    </xf>
    <xf numFmtId="49" fontId="75" fillId="3" borderId="26" xfId="288" applyNumberFormat="1" applyFont="1" applyFill="1" applyBorder="1" applyAlignment="1">
      <alignment horizontal="center" vertical="center" wrapText="1"/>
      <protection/>
    </xf>
    <xf numFmtId="49" fontId="75" fillId="3" borderId="25" xfId="288" applyNumberFormat="1" applyFont="1" applyFill="1" applyBorder="1" applyAlignment="1">
      <alignment horizontal="center" vertical="center" wrapText="1"/>
      <protection/>
    </xf>
    <xf numFmtId="49" fontId="3" fillId="0" borderId="0" xfId="288" applyNumberFormat="1" applyFont="1" applyAlignment="1">
      <alignment horizontal="left"/>
      <protection/>
    </xf>
    <xf numFmtId="49" fontId="5" fillId="0" borderId="0" xfId="288" applyNumberFormat="1" applyFont="1" applyBorder="1" applyAlignment="1">
      <alignment horizontal="left" wrapText="1"/>
      <protection/>
    </xf>
    <xf numFmtId="49" fontId="5" fillId="0" borderId="0" xfId="288" applyNumberFormat="1" applyFont="1" applyBorder="1" applyAlignment="1">
      <alignment horizontal="left"/>
      <protection/>
    </xf>
    <xf numFmtId="49" fontId="14" fillId="0" borderId="0" xfId="288" applyNumberFormat="1" applyFont="1" applyAlignment="1">
      <alignment horizontal="center" wrapText="1"/>
      <protection/>
    </xf>
    <xf numFmtId="49" fontId="0" fillId="47" borderId="0" xfId="288" applyNumberFormat="1" applyFont="1" applyFill="1" applyBorder="1" applyAlignment="1">
      <alignment horizontal="left" vertical="top" wrapText="1"/>
      <protection/>
    </xf>
    <xf numFmtId="49" fontId="3" fillId="47" borderId="0" xfId="288" applyNumberFormat="1" applyFont="1" applyFill="1" applyBorder="1" applyAlignment="1">
      <alignment horizontal="left" vertical="top" wrapText="1"/>
      <protection/>
    </xf>
    <xf numFmtId="49" fontId="0" fillId="0" borderId="0" xfId="288" applyNumberFormat="1" applyFont="1" applyAlignment="1">
      <alignment horizontal="justify" vertical="top"/>
      <protection/>
    </xf>
    <xf numFmtId="49" fontId="0" fillId="0" borderId="0" xfId="288" applyNumberFormat="1" applyFont="1" applyBorder="1" applyAlignment="1">
      <alignment horizontal="justify" vertical="top" wrapText="1"/>
      <protection/>
    </xf>
    <xf numFmtId="49" fontId="0" fillId="0" borderId="0" xfId="288" applyNumberFormat="1" applyFont="1" applyBorder="1" applyAlignment="1">
      <alignment horizontal="justify" vertical="top"/>
      <protection/>
    </xf>
    <xf numFmtId="49" fontId="18" fillId="0" borderId="0" xfId="288" applyNumberFormat="1" applyFont="1" applyAlignment="1">
      <alignment horizontal="center" wrapText="1"/>
      <protection/>
    </xf>
    <xf numFmtId="49" fontId="19" fillId="0" borderId="22" xfId="288" applyNumberFormat="1" applyFont="1" applyBorder="1" applyAlignment="1">
      <alignment horizontal="center"/>
      <protection/>
    </xf>
    <xf numFmtId="49" fontId="74" fillId="0" borderId="20" xfId="288" applyNumberFormat="1" applyFont="1" applyBorder="1" applyAlignment="1">
      <alignment horizontal="center" vertical="center" wrapText="1"/>
      <protection/>
    </xf>
    <xf numFmtId="49" fontId="12" fillId="0" borderId="20" xfId="288" applyNumberFormat="1" applyFont="1" applyBorder="1" applyAlignment="1">
      <alignment horizontal="center" vertical="center" wrapText="1"/>
      <protection/>
    </xf>
    <xf numFmtId="49" fontId="7" fillId="0" borderId="0" xfId="288" applyNumberFormat="1" applyFont="1" applyAlignment="1">
      <alignment horizontal="left"/>
      <protection/>
    </xf>
    <xf numFmtId="49" fontId="13" fillId="0" borderId="0" xfId="288" applyNumberFormat="1" applyFont="1" applyBorder="1" applyAlignment="1">
      <alignment horizontal="left"/>
      <protection/>
    </xf>
    <xf numFmtId="49" fontId="7" fillId="0" borderId="26" xfId="288" applyNumberFormat="1" applyFont="1" applyBorder="1" applyAlignment="1">
      <alignment horizontal="center" vertical="center" wrapText="1"/>
      <protection/>
    </xf>
    <xf numFmtId="49" fontId="7" fillId="0" borderId="25" xfId="288" applyNumberFormat="1" applyFont="1" applyBorder="1" applyAlignment="1">
      <alignment horizontal="center" vertical="center" wrapText="1"/>
      <protection/>
    </xf>
    <xf numFmtId="49" fontId="4" fillId="0" borderId="0" xfId="288" applyNumberFormat="1" applyFont="1" applyAlignment="1">
      <alignment/>
      <protection/>
    </xf>
    <xf numFmtId="49" fontId="0" fillId="0" borderId="0" xfId="288" applyNumberFormat="1" applyFont="1" applyBorder="1" applyAlignment="1">
      <alignment horizontal="left"/>
      <protection/>
    </xf>
    <xf numFmtId="49" fontId="19" fillId="0" borderId="26" xfId="288" applyNumberFormat="1" applyFont="1" applyBorder="1" applyAlignment="1">
      <alignment horizontal="center" vertical="center" wrapText="1"/>
      <protection/>
    </xf>
    <xf numFmtId="49" fontId="19" fillId="0" borderId="25" xfId="288" applyNumberFormat="1" applyFont="1" applyBorder="1" applyAlignment="1">
      <alignment horizontal="center" vertical="center" wrapText="1"/>
      <protection/>
    </xf>
    <xf numFmtId="49" fontId="90" fillId="3" borderId="26" xfId="288" applyNumberFormat="1" applyFont="1" applyFill="1" applyBorder="1" applyAlignment="1">
      <alignment horizontal="center" vertical="center" wrapText="1"/>
      <protection/>
    </xf>
    <xf numFmtId="49" fontId="90" fillId="3" borderId="25" xfId="288" applyNumberFormat="1" applyFont="1" applyFill="1" applyBorder="1" applyAlignment="1">
      <alignment horizontal="center" vertical="center" wrapText="1"/>
      <protection/>
    </xf>
    <xf numFmtId="49" fontId="89" fillId="3" borderId="26" xfId="288" applyNumberFormat="1" applyFont="1" applyFill="1" applyBorder="1" applyAlignment="1">
      <alignment horizontal="center" vertical="center" wrapText="1"/>
      <protection/>
    </xf>
    <xf numFmtId="49" fontId="89" fillId="3" borderId="25" xfId="288" applyNumberFormat="1" applyFont="1" applyFill="1" applyBorder="1" applyAlignment="1">
      <alignment horizontal="center" vertical="center" wrapText="1"/>
      <protection/>
    </xf>
    <xf numFmtId="49" fontId="6" fillId="0" borderId="21" xfId="288" applyNumberFormat="1" applyFont="1" applyBorder="1" applyAlignment="1">
      <alignment horizontal="center" vertical="center" wrapText="1"/>
      <protection/>
    </xf>
    <xf numFmtId="49" fontId="6" fillId="0" borderId="23" xfId="288" applyNumberFormat="1" applyFont="1" applyBorder="1" applyAlignment="1">
      <alignment horizontal="center" vertical="center" wrapText="1"/>
      <protection/>
    </xf>
    <xf numFmtId="49" fontId="6" fillId="0" borderId="38" xfId="288" applyNumberFormat="1" applyFont="1" applyBorder="1" applyAlignment="1">
      <alignment horizontal="center" vertical="center" wrapText="1"/>
      <protection/>
    </xf>
    <xf numFmtId="49" fontId="6" fillId="0" borderId="41" xfId="288" applyNumberFormat="1" applyFont="1" applyBorder="1" applyAlignment="1">
      <alignment horizontal="center" vertical="center" wrapText="1"/>
      <protection/>
    </xf>
    <xf numFmtId="49" fontId="19" fillId="0" borderId="0" xfId="288" applyNumberFormat="1" applyFont="1" applyAlignment="1">
      <alignment horizontal="center"/>
      <protection/>
    </xf>
    <xf numFmtId="49" fontId="18" fillId="0" borderId="22" xfId="288" applyNumberFormat="1" applyFont="1" applyBorder="1" applyAlignment="1">
      <alignment horizontal="left"/>
      <protection/>
    </xf>
    <xf numFmtId="49" fontId="31" fillId="0" borderId="0" xfId="288" applyNumberFormat="1" applyFont="1" applyBorder="1" applyAlignment="1">
      <alignment horizontal="left" wrapText="1"/>
      <protection/>
    </xf>
    <xf numFmtId="49" fontId="28" fillId="0" borderId="0" xfId="288" applyNumberFormat="1" applyFont="1" applyAlignment="1">
      <alignment horizontal="center"/>
      <protection/>
    </xf>
    <xf numFmtId="49" fontId="6" fillId="0" borderId="35" xfId="288" applyNumberFormat="1" applyFont="1" applyFill="1" applyBorder="1" applyAlignment="1">
      <alignment horizontal="center" vertical="center" wrapText="1"/>
      <protection/>
    </xf>
    <xf numFmtId="49" fontId="6" fillId="0" borderId="36" xfId="288" applyNumberFormat="1" applyFont="1" applyFill="1" applyBorder="1" applyAlignment="1">
      <alignment horizontal="center" vertical="center" wrapText="1"/>
      <protection/>
    </xf>
    <xf numFmtId="49" fontId="6" fillId="0" borderId="24" xfId="288" applyNumberFormat="1" applyFont="1" applyFill="1" applyBorder="1" applyAlignment="1">
      <alignment horizontal="center" vertical="center" wrapText="1"/>
      <protection/>
    </xf>
    <xf numFmtId="49" fontId="6" fillId="0" borderId="40" xfId="288" applyNumberFormat="1" applyFont="1" applyFill="1" applyBorder="1" applyAlignment="1">
      <alignment horizontal="center" vertical="center" wrapText="1"/>
      <protection/>
    </xf>
    <xf numFmtId="49" fontId="6" fillId="0" borderId="27" xfId="288" applyNumberFormat="1" applyFont="1" applyFill="1" applyBorder="1" applyAlignment="1">
      <alignment horizontal="center" vertical="center" wrapText="1"/>
      <protection/>
    </xf>
    <xf numFmtId="49" fontId="6" fillId="0" borderId="37" xfId="288" applyNumberFormat="1" applyFont="1" applyFill="1" applyBorder="1" applyAlignment="1">
      <alignment horizontal="center" vertical="center" wrapText="1"/>
      <protection/>
    </xf>
    <xf numFmtId="49" fontId="6" fillId="0" borderId="41" xfId="288" applyNumberFormat="1" applyFont="1" applyFill="1" applyBorder="1" applyAlignment="1">
      <alignment horizontal="center" vertical="center" wrapText="1"/>
      <protection/>
    </xf>
    <xf numFmtId="49" fontId="19" fillId="0" borderId="26" xfId="288" applyNumberFormat="1" applyFont="1" applyFill="1" applyBorder="1" applyAlignment="1">
      <alignment horizontal="center" vertical="center"/>
      <protection/>
    </xf>
    <xf numFmtId="49" fontId="19" fillId="0" borderId="25" xfId="288" applyNumberFormat="1" applyFont="1" applyFill="1" applyBorder="1" applyAlignment="1">
      <alignment horizontal="center" vertical="center"/>
      <protection/>
    </xf>
    <xf numFmtId="49" fontId="89" fillId="3" borderId="26" xfId="288" applyNumberFormat="1" applyFont="1" applyFill="1" applyBorder="1" applyAlignment="1">
      <alignment horizontal="center" vertical="center"/>
      <protection/>
    </xf>
    <xf numFmtId="49" fontId="89" fillId="3" borderId="25" xfId="288" applyNumberFormat="1" applyFont="1" applyFill="1" applyBorder="1" applyAlignment="1">
      <alignment horizontal="center" vertical="center"/>
      <protection/>
    </xf>
    <xf numFmtId="49" fontId="6" fillId="47" borderId="26" xfId="288" applyNumberFormat="1" applyFont="1" applyFill="1" applyBorder="1" applyAlignment="1">
      <alignment horizontal="center" vertical="center"/>
      <protection/>
    </xf>
    <xf numFmtId="49" fontId="6" fillId="47" borderId="25" xfId="288" applyNumberFormat="1" applyFont="1" applyFill="1" applyBorder="1" applyAlignment="1">
      <alignment horizontal="center" vertical="center"/>
      <protection/>
    </xf>
    <xf numFmtId="49" fontId="90" fillId="3" borderId="26" xfId="288" applyNumberFormat="1" applyFont="1" applyFill="1" applyBorder="1" applyAlignment="1">
      <alignment horizontal="center" vertical="center"/>
      <protection/>
    </xf>
    <xf numFmtId="49" fontId="90" fillId="3" borderId="25" xfId="288" applyNumberFormat="1" applyFont="1" applyFill="1" applyBorder="1" applyAlignment="1">
      <alignment horizontal="center" vertical="center"/>
      <protection/>
    </xf>
    <xf numFmtId="49" fontId="18" fillId="0" borderId="0" xfId="288" applyNumberFormat="1" applyFont="1" applyFill="1" applyBorder="1" applyAlignment="1">
      <alignment horizontal="left"/>
      <protection/>
    </xf>
    <xf numFmtId="49" fontId="0" fillId="0" borderId="0" xfId="288" applyNumberFormat="1" applyFont="1" applyFill="1" applyAlignment="1">
      <alignment horizontal="left"/>
      <protection/>
    </xf>
    <xf numFmtId="49" fontId="13" fillId="0" borderId="22" xfId="288" applyNumberFormat="1" applyFont="1" applyFill="1" applyBorder="1" applyAlignment="1">
      <alignment horizontal="center" vertical="center"/>
      <protection/>
    </xf>
    <xf numFmtId="0" fontId="82" fillId="0" borderId="41" xfId="288" applyFont="1" applyFill="1" applyBorder="1" applyAlignment="1">
      <alignment horizontal="center" vertical="center" wrapText="1"/>
      <protection/>
    </xf>
    <xf numFmtId="0" fontId="82" fillId="0" borderId="25" xfId="288" applyFont="1" applyFill="1" applyBorder="1" applyAlignment="1">
      <alignment horizontal="center" vertical="center" wrapText="1"/>
      <protection/>
    </xf>
    <xf numFmtId="0" fontId="14" fillId="0" borderId="0" xfId="288" applyNumberFormat="1" applyFont="1" applyAlignment="1">
      <alignment horizontal="center"/>
      <protection/>
    </xf>
    <xf numFmtId="0" fontId="33" fillId="0" borderId="0" xfId="288" applyNumberFormat="1" applyFont="1" applyAlignment="1">
      <alignment horizontal="center"/>
      <protection/>
    </xf>
    <xf numFmtId="0" fontId="23" fillId="0" borderId="0" xfId="288" applyNumberFormat="1" applyFont="1" applyAlignment="1">
      <alignment horizontal="center"/>
      <protection/>
    </xf>
    <xf numFmtId="0" fontId="7" fillId="0" borderId="20" xfId="288" applyFont="1" applyFill="1" applyBorder="1" applyAlignment="1">
      <alignment horizontal="center" vertical="center" wrapText="1"/>
      <protection/>
    </xf>
    <xf numFmtId="0" fontId="18" fillId="0" borderId="0" xfId="288" applyFont="1" applyBorder="1" applyAlignment="1">
      <alignment horizontal="left"/>
      <protection/>
    </xf>
    <xf numFmtId="0" fontId="13" fillId="0" borderId="0" xfId="288" applyFont="1" applyAlignment="1">
      <alignment horizontal="center"/>
      <protection/>
    </xf>
    <xf numFmtId="49" fontId="31" fillId="0" borderId="0" xfId="288" applyNumberFormat="1" applyFont="1" applyBorder="1" applyAlignment="1">
      <alignment horizontal="justify" vertical="justify" wrapText="1"/>
      <protection/>
    </xf>
    <xf numFmtId="0" fontId="28" fillId="47" borderId="0" xfId="288" applyFont="1" applyFill="1" applyBorder="1" applyAlignment="1">
      <alignment horizontal="center"/>
      <protection/>
    </xf>
    <xf numFmtId="49" fontId="7" fillId="0" borderId="35" xfId="288" applyNumberFormat="1" applyFont="1" applyFill="1" applyBorder="1" applyAlignment="1">
      <alignment horizontal="center" vertical="center"/>
      <protection/>
    </xf>
    <xf numFmtId="49" fontId="7" fillId="0" borderId="36" xfId="288" applyNumberFormat="1" applyFont="1" applyFill="1" applyBorder="1" applyAlignment="1">
      <alignment horizontal="center" vertical="center"/>
      <protection/>
    </xf>
    <xf numFmtId="49" fontId="7" fillId="0" borderId="24" xfId="288" applyNumberFormat="1" applyFont="1" applyFill="1" applyBorder="1" applyAlignment="1">
      <alignment horizontal="center" vertical="center"/>
      <protection/>
    </xf>
    <xf numFmtId="49" fontId="7" fillId="0" borderId="40" xfId="288" applyNumberFormat="1" applyFont="1" applyFill="1" applyBorder="1" applyAlignment="1">
      <alignment horizontal="center" vertical="center"/>
      <protection/>
    </xf>
    <xf numFmtId="49" fontId="7" fillId="0" borderId="27" xfId="288" applyNumberFormat="1" applyFont="1" applyFill="1" applyBorder="1" applyAlignment="1">
      <alignment horizontal="center" vertical="center"/>
      <protection/>
    </xf>
    <xf numFmtId="49" fontId="7" fillId="0" borderId="37" xfId="288" applyNumberFormat="1" applyFont="1" applyFill="1" applyBorder="1" applyAlignment="1">
      <alignment horizontal="center" vertical="center"/>
      <protection/>
    </xf>
    <xf numFmtId="0" fontId="25" fillId="0" borderId="0" xfId="288" applyFont="1" applyAlignment="1">
      <alignment horizontal="center"/>
      <protection/>
    </xf>
    <xf numFmtId="49" fontId="25" fillId="47" borderId="42" xfId="0" applyNumberFormat="1" applyFont="1" applyFill="1" applyBorder="1" applyAlignment="1">
      <alignment horizontal="center" vertical="center"/>
    </xf>
    <xf numFmtId="49" fontId="25" fillId="47" borderId="43" xfId="0" applyNumberFormat="1" applyFont="1" applyFill="1" applyBorder="1" applyAlignment="1">
      <alignment horizontal="center" vertical="center"/>
    </xf>
    <xf numFmtId="49" fontId="100" fillId="47" borderId="26" xfId="0" applyNumberFormat="1" applyFont="1" applyFill="1" applyBorder="1" applyAlignment="1">
      <alignment horizontal="left"/>
    </xf>
    <xf numFmtId="49" fontId="100" fillId="47" borderId="41" xfId="0" applyNumberFormat="1" applyFont="1" applyFill="1" applyBorder="1" applyAlignment="1">
      <alignment horizontal="left"/>
    </xf>
    <xf numFmtId="49" fontId="100" fillId="47" borderId="25" xfId="0" applyNumberFormat="1" applyFont="1" applyFill="1" applyBorder="1" applyAlignment="1">
      <alignment horizontal="left"/>
    </xf>
    <xf numFmtId="0" fontId="0" fillId="50"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210" fontId="25" fillId="47" borderId="0" xfId="0" applyNumberFormat="1" applyFont="1" applyFill="1" applyAlignment="1">
      <alignment horizontal="center"/>
    </xf>
    <xf numFmtId="0" fontId="25" fillId="47" borderId="0" xfId="0" applyNumberFormat="1" applyFont="1" applyFill="1" applyAlignment="1">
      <alignment horizontal="center"/>
    </xf>
    <xf numFmtId="0" fontId="28" fillId="47" borderId="19" xfId="0" applyNumberFormat="1" applyFont="1" applyFill="1" applyBorder="1" applyAlignment="1">
      <alignment horizontal="center" vertical="center"/>
    </xf>
    <xf numFmtId="0" fontId="25" fillId="47" borderId="0" xfId="0" applyNumberFormat="1" applyFont="1" applyFill="1" applyBorder="1" applyAlignment="1">
      <alignment horizontal="center" wrapText="1"/>
    </xf>
    <xf numFmtId="0" fontId="31" fillId="47" borderId="0" xfId="0" applyNumberFormat="1" applyFont="1" applyFill="1" applyBorder="1" applyAlignment="1">
      <alignment horizontal="left" wrapText="1"/>
    </xf>
    <xf numFmtId="49" fontId="0" fillId="47" borderId="20" xfId="0" applyNumberFormat="1" applyFont="1" applyFill="1" applyBorder="1" applyAlignment="1" applyProtection="1">
      <alignment horizontal="center" vertical="center" wrapText="1"/>
      <protection/>
    </xf>
    <xf numFmtId="49" fontId="18" fillId="47" borderId="44" xfId="0" applyNumberFormat="1" applyFont="1" applyFill="1" applyBorder="1" applyAlignment="1" applyProtection="1">
      <alignment horizontal="center" vertical="center" wrapText="1"/>
      <protection/>
    </xf>
    <xf numFmtId="49" fontId="18" fillId="47" borderId="25" xfId="0" applyNumberFormat="1" applyFont="1" applyFill="1" applyBorder="1" applyAlignment="1" applyProtection="1">
      <alignment horizontal="center" vertical="center" wrapText="1"/>
      <protection/>
    </xf>
    <xf numFmtId="49" fontId="0" fillId="47" borderId="0" xfId="0" applyNumberFormat="1" applyFont="1" applyFill="1" applyBorder="1" applyAlignment="1">
      <alignment horizontal="left" wrapText="1"/>
    </xf>
    <xf numFmtId="49" fontId="0" fillId="47" borderId="20" xfId="0" applyNumberFormat="1" applyFont="1" applyFill="1" applyBorder="1" applyAlignment="1">
      <alignment horizontal="center" vertical="center" wrapText="1"/>
    </xf>
    <xf numFmtId="49" fontId="0" fillId="49" borderId="26" xfId="0" applyNumberFormat="1" applyFont="1" applyFill="1" applyBorder="1" applyAlignment="1" applyProtection="1">
      <alignment horizontal="center" vertical="center" wrapText="1"/>
      <protection/>
    </xf>
    <xf numFmtId="49" fontId="0" fillId="49" borderId="25" xfId="0" applyNumberFormat="1" applyFont="1" applyFill="1" applyBorder="1" applyAlignment="1" applyProtection="1">
      <alignment horizontal="center" vertical="center" wrapText="1"/>
      <protection/>
    </xf>
    <xf numFmtId="49" fontId="0" fillId="47" borderId="0" xfId="0" applyNumberFormat="1" applyFont="1" applyFill="1" applyAlignment="1">
      <alignment horizontal="center"/>
    </xf>
    <xf numFmtId="49" fontId="0" fillId="47" borderId="0" xfId="0" applyNumberFormat="1" applyFont="1" applyFill="1" applyAlignment="1">
      <alignment horizontal="center" wrapText="1"/>
    </xf>
    <xf numFmtId="0" fontId="18" fillId="47" borderId="0" xfId="0" applyNumberFormat="1" applyFont="1" applyFill="1" applyAlignment="1">
      <alignment horizontal="center"/>
    </xf>
    <xf numFmtId="1" fontId="0" fillId="47" borderId="20" xfId="0" applyNumberFormat="1" applyFont="1" applyFill="1" applyBorder="1" applyAlignment="1">
      <alignment horizontal="center" vertical="center"/>
    </xf>
    <xf numFmtId="49" fontId="0" fillId="47" borderId="0" xfId="0" applyNumberFormat="1" applyFill="1" applyAlignment="1">
      <alignment horizontal="center" wrapText="1"/>
    </xf>
    <xf numFmtId="49" fontId="0" fillId="47" borderId="0" xfId="0" applyNumberFormat="1" applyFill="1" applyAlignment="1">
      <alignment horizontal="center"/>
    </xf>
    <xf numFmtId="49" fontId="0" fillId="47" borderId="0" xfId="0" applyNumberFormat="1" applyFont="1" applyFill="1" applyAlignment="1">
      <alignment horizontal="left"/>
    </xf>
    <xf numFmtId="0" fontId="0" fillId="47" borderId="0" xfId="0" applyNumberFormat="1" applyFont="1" applyFill="1" applyBorder="1" applyAlignment="1">
      <alignment horizontal="left" wrapText="1"/>
    </xf>
    <xf numFmtId="0" fontId="0" fillId="47" borderId="35" xfId="0" applyNumberFormat="1" applyFont="1" applyFill="1" applyBorder="1" applyAlignment="1">
      <alignment horizontal="center" vertical="center" wrapText="1"/>
    </xf>
    <xf numFmtId="0" fontId="0" fillId="47" borderId="36" xfId="0" applyNumberFormat="1" applyFont="1" applyFill="1" applyBorder="1" applyAlignment="1">
      <alignment horizontal="center" vertical="center" wrapText="1"/>
    </xf>
    <xf numFmtId="0" fontId="0" fillId="47" borderId="24" xfId="0" applyNumberFormat="1" applyFont="1" applyFill="1" applyBorder="1" applyAlignment="1">
      <alignment horizontal="center" vertical="center" wrapText="1"/>
    </xf>
    <xf numFmtId="0" fontId="0" fillId="47" borderId="40" xfId="0" applyNumberFormat="1" applyFont="1" applyFill="1" applyBorder="1" applyAlignment="1">
      <alignment horizontal="center" vertical="center" wrapText="1"/>
    </xf>
    <xf numFmtId="0" fontId="0" fillId="47" borderId="27" xfId="0" applyNumberFormat="1" applyFont="1" applyFill="1" applyBorder="1" applyAlignment="1">
      <alignment horizontal="center" vertical="center" wrapText="1"/>
    </xf>
    <xf numFmtId="0" fontId="0" fillId="47" borderId="37" xfId="0" applyNumberFormat="1" applyFont="1" applyFill="1" applyBorder="1" applyAlignment="1">
      <alignment horizontal="center" vertical="center" wrapText="1"/>
    </xf>
    <xf numFmtId="0" fontId="0" fillId="47" borderId="0" xfId="0" applyNumberFormat="1" applyFont="1" applyFill="1" applyBorder="1" applyAlignment="1">
      <alignment horizontal="left" wrapText="1"/>
    </xf>
    <xf numFmtId="49" fontId="0" fillId="47" borderId="0" xfId="0" applyNumberFormat="1" applyFont="1" applyFill="1" applyBorder="1" applyAlignment="1">
      <alignment horizontal="left" wrapText="1"/>
    </xf>
    <xf numFmtId="49" fontId="0" fillId="47" borderId="0" xfId="0" applyNumberFormat="1" applyFont="1" applyFill="1" applyAlignment="1">
      <alignment horizontal="left"/>
    </xf>
    <xf numFmtId="210" fontId="32" fillId="47" borderId="20" xfId="0" applyNumberFormat="1" applyFont="1" applyFill="1" applyBorder="1" applyAlignment="1">
      <alignment horizontal="center" vertical="center" wrapText="1"/>
    </xf>
    <xf numFmtId="210" fontId="4" fillId="47" borderId="45" xfId="0" applyNumberFormat="1" applyFont="1" applyFill="1" applyBorder="1" applyAlignment="1">
      <alignment horizontal="center" vertical="center" wrapText="1"/>
    </xf>
    <xf numFmtId="210" fontId="4" fillId="47" borderId="20" xfId="0" applyNumberFormat="1" applyFont="1" applyFill="1" applyBorder="1" applyAlignment="1">
      <alignment horizontal="center" vertical="center" wrapText="1"/>
    </xf>
    <xf numFmtId="210" fontId="4" fillId="47" borderId="45" xfId="0" applyNumberFormat="1" applyFont="1" applyFill="1" applyBorder="1" applyAlignment="1">
      <alignment horizontal="center" vertical="center"/>
    </xf>
    <xf numFmtId="49" fontId="18" fillId="47" borderId="46" xfId="0" applyNumberFormat="1" applyFont="1" applyFill="1" applyBorder="1" applyAlignment="1">
      <alignment horizontal="left"/>
    </xf>
    <xf numFmtId="210" fontId="15" fillId="47" borderId="0" xfId="0" applyNumberFormat="1" applyFont="1" applyFill="1" applyAlignment="1">
      <alignment horizontal="center"/>
    </xf>
    <xf numFmtId="210" fontId="15" fillId="47" borderId="0" xfId="0" applyNumberFormat="1" applyFont="1" applyFill="1" applyAlignment="1">
      <alignment horizontal="center" wrapText="1"/>
    </xf>
    <xf numFmtId="210" fontId="23" fillId="47" borderId="0" xfId="0" applyNumberFormat="1" applyFont="1" applyFill="1" applyAlignment="1">
      <alignment horizontal="center"/>
    </xf>
    <xf numFmtId="210" fontId="4" fillId="47" borderId="20" xfId="0" applyNumberFormat="1" applyFont="1" applyFill="1" applyBorder="1" applyAlignment="1" applyProtection="1">
      <alignment horizontal="center" vertical="center" wrapText="1"/>
      <protection/>
    </xf>
    <xf numFmtId="210" fontId="4" fillId="47" borderId="45" xfId="0" applyNumberFormat="1" applyFont="1" applyFill="1" applyBorder="1" applyAlignment="1" applyProtection="1">
      <alignment horizontal="center" vertical="center" wrapText="1"/>
      <protection/>
    </xf>
    <xf numFmtId="210" fontId="32" fillId="47" borderId="20" xfId="0" applyNumberFormat="1" applyFont="1" applyFill="1" applyBorder="1" applyAlignment="1" applyProtection="1">
      <alignment horizontal="center" vertical="center" wrapText="1"/>
      <protection/>
    </xf>
    <xf numFmtId="49" fontId="19" fillId="47" borderId="47" xfId="0" applyNumberFormat="1" applyFont="1" applyFill="1" applyBorder="1" applyAlignment="1" applyProtection="1">
      <alignment horizontal="center" vertical="center" wrapText="1"/>
      <protection/>
    </xf>
    <xf numFmtId="49" fontId="19" fillId="47" borderId="20" xfId="0" applyNumberFormat="1" applyFont="1" applyFill="1" applyBorder="1" applyAlignment="1" applyProtection="1">
      <alignment horizontal="center" vertical="center" wrapText="1"/>
      <protection/>
    </xf>
    <xf numFmtId="0" fontId="4" fillId="47" borderId="48" xfId="0" applyNumberFormat="1" applyFont="1" applyFill="1" applyBorder="1" applyAlignment="1">
      <alignment horizontal="center" vertical="center" wrapText="1"/>
    </xf>
    <xf numFmtId="0" fontId="4" fillId="47" borderId="45" xfId="0" applyNumberFormat="1" applyFont="1" applyFill="1" applyBorder="1" applyAlignment="1">
      <alignment horizontal="center" vertical="center" wrapText="1"/>
    </xf>
    <xf numFmtId="0" fontId="4" fillId="47" borderId="47" xfId="0" applyNumberFormat="1" applyFont="1" applyFill="1" applyBorder="1" applyAlignment="1">
      <alignment horizontal="center" vertical="center" wrapText="1"/>
    </xf>
    <xf numFmtId="0" fontId="4" fillId="47" borderId="20" xfId="0" applyNumberFormat="1" applyFont="1" applyFill="1" applyBorder="1" applyAlignment="1">
      <alignment horizontal="center" vertical="center" wrapText="1"/>
    </xf>
    <xf numFmtId="0" fontId="28" fillId="47" borderId="0" xfId="0" applyNumberFormat="1" applyFont="1" applyFill="1" applyBorder="1" applyAlignment="1">
      <alignment horizontal="center" vertical="center"/>
    </xf>
    <xf numFmtId="4" fontId="4" fillId="47" borderId="49" xfId="0" applyNumberFormat="1" applyFont="1" applyFill="1" applyBorder="1" applyAlignment="1" applyProtection="1">
      <alignment horizontal="center" vertical="center" wrapText="1"/>
      <protection/>
    </xf>
    <xf numFmtId="4" fontId="4" fillId="47" borderId="39" xfId="0" applyNumberFormat="1" applyFont="1" applyFill="1" applyBorder="1" applyAlignment="1" applyProtection="1">
      <alignment horizontal="center" vertical="center" wrapText="1"/>
      <protection/>
    </xf>
    <xf numFmtId="210" fontId="32" fillId="47" borderId="45" xfId="0" applyNumberFormat="1" applyFont="1" applyFill="1" applyBorder="1" applyAlignment="1" applyProtection="1">
      <alignment horizontal="center" vertical="center" wrapText="1"/>
      <protection/>
    </xf>
    <xf numFmtId="49" fontId="8" fillId="49" borderId="26" xfId="0" applyNumberFormat="1" applyFont="1" applyFill="1" applyBorder="1" applyAlignment="1" applyProtection="1">
      <alignment horizontal="center" vertical="center" wrapText="1"/>
      <protection/>
    </xf>
    <xf numFmtId="49" fontId="8" fillId="49" borderId="25" xfId="0" applyNumberFormat="1" applyFont="1" applyFill="1" applyBorder="1" applyAlignment="1" applyProtection="1">
      <alignment horizontal="center" vertical="center" wrapText="1"/>
      <protection/>
    </xf>
    <xf numFmtId="49" fontId="28" fillId="47" borderId="0" xfId="0" applyNumberFormat="1" applyFont="1" applyFill="1" applyAlignment="1">
      <alignment horizontal="left"/>
    </xf>
    <xf numFmtId="49" fontId="28" fillId="47" borderId="0" xfId="0" applyNumberFormat="1" applyFont="1" applyFill="1" applyBorder="1" applyAlignment="1">
      <alignment horizontal="left"/>
    </xf>
    <xf numFmtId="0" fontId="25" fillId="47" borderId="0" xfId="0" applyNumberFormat="1" applyFont="1" applyFill="1" applyBorder="1" applyAlignment="1">
      <alignment horizontal="center" vertical="center"/>
    </xf>
  </cellXfs>
  <cellStyles count="305">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omma" xfId="93"/>
    <cellStyle name="Comma [0]" xfId="94"/>
    <cellStyle name="Comma 2" xfId="95"/>
    <cellStyle name="Comma 2 2" xfId="96"/>
    <cellStyle name="Comma 3" xfId="97"/>
    <cellStyle name="Currency" xfId="98"/>
    <cellStyle name="Currency [0]" xfId="99"/>
    <cellStyle name="Check Cell" xfId="100"/>
    <cellStyle name="Check Cell 2" xfId="101"/>
    <cellStyle name="Check Cell 3" xfId="102"/>
    <cellStyle name="Explanatory Text" xfId="103"/>
    <cellStyle name="Explanatory Text 2" xfId="104"/>
    <cellStyle name="Explanatory Text 3" xfId="105"/>
    <cellStyle name="Followed Hyperlink" xfId="106"/>
    <cellStyle name="Good" xfId="107"/>
    <cellStyle name="Good 2" xfId="108"/>
    <cellStyle name="Good 3" xfId="109"/>
    <cellStyle name="Heading 1" xfId="110"/>
    <cellStyle name="Heading 1 2" xfId="111"/>
    <cellStyle name="Heading 1 3" xfId="112"/>
    <cellStyle name="Heading 2" xfId="113"/>
    <cellStyle name="Heading 2 2" xfId="114"/>
    <cellStyle name="Heading 2 3" xfId="115"/>
    <cellStyle name="Heading 3" xfId="116"/>
    <cellStyle name="Heading 3 2" xfId="117"/>
    <cellStyle name="Heading 3 3" xfId="118"/>
    <cellStyle name="Heading 4" xfId="119"/>
    <cellStyle name="Heading 4 2" xfId="120"/>
    <cellStyle name="Heading 4 3" xfId="121"/>
    <cellStyle name="Hyperlink" xfId="122"/>
    <cellStyle name="Input" xfId="123"/>
    <cellStyle name="Input 2" xfId="124"/>
    <cellStyle name="Input 3" xfId="125"/>
    <cellStyle name="Linked Cell" xfId="126"/>
    <cellStyle name="Linked Cell 2" xfId="127"/>
    <cellStyle name="Linked Cell 3" xfId="128"/>
    <cellStyle name="Neutral" xfId="129"/>
    <cellStyle name="Neutral 2" xfId="130"/>
    <cellStyle name="Neutral 3" xfId="131"/>
    <cellStyle name="Normal 10" xfId="132"/>
    <cellStyle name="Normal 10 10" xfId="133"/>
    <cellStyle name="Normal 10 2" xfId="134"/>
    <cellStyle name="Normal 10 3" xfId="135"/>
    <cellStyle name="Normal 10 4" xfId="136"/>
    <cellStyle name="Normal 10 5" xfId="137"/>
    <cellStyle name="Normal 10 6" xfId="138"/>
    <cellStyle name="Normal 10 7" xfId="139"/>
    <cellStyle name="Normal 10 8" xfId="140"/>
    <cellStyle name="Normal 10 9" xfId="141"/>
    <cellStyle name="Normal 11" xfId="142"/>
    <cellStyle name="Normal 11 2" xfId="143"/>
    <cellStyle name="Normal 11 3" xfId="144"/>
    <cellStyle name="Normal 11 4" xfId="145"/>
    <cellStyle name="Normal 12" xfId="146"/>
    <cellStyle name="Normal 12 2" xfId="147"/>
    <cellStyle name="Normal 13" xfId="148"/>
    <cellStyle name="Normal 13 2" xfId="149"/>
    <cellStyle name="Normal 13 3" xfId="150"/>
    <cellStyle name="Normal 13 4" xfId="151"/>
    <cellStyle name="Normal 13 5" xfId="152"/>
    <cellStyle name="Normal 14" xfId="153"/>
    <cellStyle name="Normal 14 2" xfId="154"/>
    <cellStyle name="Normal 14 3" xfId="155"/>
    <cellStyle name="Normal 15" xfId="156"/>
    <cellStyle name="Normal 16" xfId="157"/>
    <cellStyle name="Normal 17" xfId="158"/>
    <cellStyle name="Normal 18" xfId="159"/>
    <cellStyle name="Normal 19" xfId="160"/>
    <cellStyle name="Normal 2" xfId="161"/>
    <cellStyle name="Normal 2 2" xfId="162"/>
    <cellStyle name="Normal 2 2 2" xfId="163"/>
    <cellStyle name="Normal 2 2 2 2" xfId="164"/>
    <cellStyle name="Normal 2 3" xfId="165"/>
    <cellStyle name="Normal 2_01" xfId="166"/>
    <cellStyle name="Normal 20" xfId="167"/>
    <cellStyle name="Normal 21" xfId="168"/>
    <cellStyle name="Normal 22" xfId="169"/>
    <cellStyle name="Normal 23" xfId="170"/>
    <cellStyle name="Normal 24" xfId="171"/>
    <cellStyle name="Normal 25" xfId="172"/>
    <cellStyle name="Normal 26" xfId="173"/>
    <cellStyle name="Normal 27" xfId="174"/>
    <cellStyle name="Normal 28" xfId="175"/>
    <cellStyle name="Normal 29" xfId="176"/>
    <cellStyle name="Normal 3" xfId="177"/>
    <cellStyle name="Normal 3 2" xfId="178"/>
    <cellStyle name="Normal 3_01" xfId="179"/>
    <cellStyle name="Normal 30" xfId="180"/>
    <cellStyle name="Normal 31" xfId="181"/>
    <cellStyle name="Normal 32" xfId="182"/>
    <cellStyle name="Normal 33" xfId="183"/>
    <cellStyle name="Normal 34" xfId="184"/>
    <cellStyle name="Normal 35" xfId="185"/>
    <cellStyle name="Normal 36" xfId="186"/>
    <cellStyle name="Normal 37" xfId="187"/>
    <cellStyle name="Normal 38" xfId="188"/>
    <cellStyle name="Normal 39" xfId="189"/>
    <cellStyle name="Normal 4" xfId="190"/>
    <cellStyle name="Normal 4 2" xfId="191"/>
    <cellStyle name="Normal 4_01" xfId="192"/>
    <cellStyle name="Normal 40" xfId="193"/>
    <cellStyle name="Normal 41" xfId="194"/>
    <cellStyle name="Normal 42" xfId="195"/>
    <cellStyle name="Normal 43" xfId="196"/>
    <cellStyle name="Normal 44" xfId="197"/>
    <cellStyle name="Normal 45" xfId="198"/>
    <cellStyle name="Normal 46" xfId="199"/>
    <cellStyle name="Normal 47" xfId="200"/>
    <cellStyle name="Normal 48" xfId="201"/>
    <cellStyle name="Normal 49" xfId="202"/>
    <cellStyle name="Normal 5" xfId="203"/>
    <cellStyle name="Normal 5 10" xfId="204"/>
    <cellStyle name="Normal 5 11" xfId="205"/>
    <cellStyle name="Normal 5 12" xfId="206"/>
    <cellStyle name="Normal 5 13" xfId="207"/>
    <cellStyle name="Normal 5 14" xfId="208"/>
    <cellStyle name="Normal 5 15" xfId="209"/>
    <cellStyle name="Normal 5 16" xfId="210"/>
    <cellStyle name="Normal 5 17" xfId="211"/>
    <cellStyle name="Normal 5 18" xfId="212"/>
    <cellStyle name="Normal 5 19" xfId="213"/>
    <cellStyle name="Normal 5 2" xfId="214"/>
    <cellStyle name="Normal 5 20" xfId="215"/>
    <cellStyle name="Normal 5 3" xfId="216"/>
    <cellStyle name="Normal 5 4" xfId="217"/>
    <cellStyle name="Normal 5 5" xfId="218"/>
    <cellStyle name="Normal 5 6" xfId="219"/>
    <cellStyle name="Normal 5 7" xfId="220"/>
    <cellStyle name="Normal 5 8" xfId="221"/>
    <cellStyle name="Normal 5 9" xfId="222"/>
    <cellStyle name="Normal 50" xfId="223"/>
    <cellStyle name="Normal 6" xfId="224"/>
    <cellStyle name="Normal 6 10" xfId="225"/>
    <cellStyle name="Normal 6 11" xfId="226"/>
    <cellStyle name="Normal 6 12" xfId="227"/>
    <cellStyle name="Normal 6 13" xfId="228"/>
    <cellStyle name="Normal 6 14" xfId="229"/>
    <cellStyle name="Normal 6 15" xfId="230"/>
    <cellStyle name="Normal 6 16" xfId="231"/>
    <cellStyle name="Normal 6 17" xfId="232"/>
    <cellStyle name="Normal 6 18" xfId="233"/>
    <cellStyle name="Normal 6 2" xfId="234"/>
    <cellStyle name="Normal 6 3" xfId="235"/>
    <cellStyle name="Normal 6 4" xfId="236"/>
    <cellStyle name="Normal 6 5" xfId="237"/>
    <cellStyle name="Normal 6 6" xfId="238"/>
    <cellStyle name="Normal 6 7" xfId="239"/>
    <cellStyle name="Normal 6 8" xfId="240"/>
    <cellStyle name="Normal 6 9" xfId="241"/>
    <cellStyle name="Normal 7" xfId="242"/>
    <cellStyle name="Normal 7 10" xfId="243"/>
    <cellStyle name="Normal 7 11" xfId="244"/>
    <cellStyle name="Normal 7 12" xfId="245"/>
    <cellStyle name="Normal 7 13" xfId="246"/>
    <cellStyle name="Normal 7 14" xfId="247"/>
    <cellStyle name="Normal 7 15" xfId="248"/>
    <cellStyle name="Normal 7 16" xfId="249"/>
    <cellStyle name="Normal 7 2" xfId="250"/>
    <cellStyle name="Normal 7 3" xfId="251"/>
    <cellStyle name="Normal 7 4" xfId="252"/>
    <cellStyle name="Normal 7 5" xfId="253"/>
    <cellStyle name="Normal 7 6" xfId="254"/>
    <cellStyle name="Normal 7 7" xfId="255"/>
    <cellStyle name="Normal 7 8" xfId="256"/>
    <cellStyle name="Normal 7 9" xfId="257"/>
    <cellStyle name="Normal 8" xfId="258"/>
    <cellStyle name="Normal 8 10" xfId="259"/>
    <cellStyle name="Normal 8 11" xfId="260"/>
    <cellStyle name="Normal 8 12" xfId="261"/>
    <cellStyle name="Normal 8 13" xfId="262"/>
    <cellStyle name="Normal 8 14" xfId="263"/>
    <cellStyle name="Normal 8 2" xfId="264"/>
    <cellStyle name="Normal 8 3" xfId="265"/>
    <cellStyle name="Normal 8 4" xfId="266"/>
    <cellStyle name="Normal 8 5" xfId="267"/>
    <cellStyle name="Normal 8 6" xfId="268"/>
    <cellStyle name="Normal 8 7" xfId="269"/>
    <cellStyle name="Normal 8 8" xfId="270"/>
    <cellStyle name="Normal 8 9" xfId="271"/>
    <cellStyle name="Normal 9" xfId="272"/>
    <cellStyle name="Normal 9 10" xfId="273"/>
    <cellStyle name="Normal 9 11" xfId="274"/>
    <cellStyle name="Normal 9 12" xfId="275"/>
    <cellStyle name="Normal 9 2" xfId="276"/>
    <cellStyle name="Normal 9 3" xfId="277"/>
    <cellStyle name="Normal 9 4" xfId="278"/>
    <cellStyle name="Normal 9 5" xfId="279"/>
    <cellStyle name="Normal 9 6" xfId="280"/>
    <cellStyle name="Normal 9 7" xfId="281"/>
    <cellStyle name="Normal 9 8" xfId="282"/>
    <cellStyle name="Normal 9 9" xfId="283"/>
    <cellStyle name="Normal_1. (Goc) THONG KE TT01 Toàn tỉnh Hoa Binh 6 tháng 2013" xfId="284"/>
    <cellStyle name="Normal_1. (Goc) THONG KE TT01 Toàn tỉnh Hoa Binh 6 tháng 2013_07" xfId="285"/>
    <cellStyle name="Normal_19 bieu m nhapcong thuc da sao 11 don vi " xfId="286"/>
    <cellStyle name="Normal_Bieu 8 - Bieu 19 toan tinh" xfId="287"/>
    <cellStyle name="Normal_Bieu mau TK tu 11 den 19 (ban phat hanh)" xfId="288"/>
    <cellStyle name="Normal_Bieu mau TK tu 11 den 19 (ban phat hanh)_07" xfId="289"/>
    <cellStyle name="Normal_Sheet1" xfId="290"/>
    <cellStyle name="Normal_Sheet2" xfId="291"/>
    <cellStyle name="Normal_Sheet3" xfId="292"/>
    <cellStyle name="Note" xfId="293"/>
    <cellStyle name="Note 2" xfId="294"/>
    <cellStyle name="Note 3" xfId="295"/>
    <cellStyle name="Output" xfId="296"/>
    <cellStyle name="Output 2" xfId="297"/>
    <cellStyle name="Output 3" xfId="298"/>
    <cellStyle name="Percent" xfId="299"/>
    <cellStyle name="Percent 10" xfId="300"/>
    <cellStyle name="Percent 11" xfId="301"/>
    <cellStyle name="Percent 13" xfId="302"/>
    <cellStyle name="Percent 14" xfId="303"/>
    <cellStyle name="Percent 2" xfId="304"/>
    <cellStyle name="Percent 2 2" xfId="305"/>
    <cellStyle name="Percent 2 2 2" xfId="306"/>
    <cellStyle name="Percent 2 2 2 2" xfId="307"/>
    <cellStyle name="Percent 3" xfId="308"/>
    <cellStyle name="Percent 4" xfId="309"/>
    <cellStyle name="Title" xfId="310"/>
    <cellStyle name="Title 2" xfId="311"/>
    <cellStyle name="Title 3" xfId="312"/>
    <cellStyle name="Total" xfId="313"/>
    <cellStyle name="Total 2" xfId="314"/>
    <cellStyle name="Total 3" xfId="315"/>
    <cellStyle name="Warning Text" xfId="316"/>
    <cellStyle name="Warning Text 2" xfId="317"/>
    <cellStyle name="Warning Text 3" xfId="318"/>
  </cellStyles>
  <dxfs count="4">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externalLink" Target="externalLinks/externalLink8.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431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9431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3" name="Text Box 1"/>
        <xdr:cNvSpPr txBox="1">
          <a:spLocks noChangeArrowheads="1"/>
        </xdr:cNvSpPr>
      </xdr:nvSpPr>
      <xdr:spPr>
        <a:xfrm>
          <a:off x="19431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4" name="Text Box 1"/>
        <xdr:cNvSpPr txBox="1">
          <a:spLocks noChangeArrowheads="1"/>
        </xdr:cNvSpPr>
      </xdr:nvSpPr>
      <xdr:spPr>
        <a:xfrm>
          <a:off x="19431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6668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6668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3" name="Text Box 1"/>
        <xdr:cNvSpPr txBox="1">
          <a:spLocks noChangeArrowheads="1"/>
        </xdr:cNvSpPr>
      </xdr:nvSpPr>
      <xdr:spPr>
        <a:xfrm>
          <a:off x="16668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4" name="Text Box 1"/>
        <xdr:cNvSpPr txBox="1">
          <a:spLocks noChangeArrowheads="1"/>
        </xdr:cNvSpPr>
      </xdr:nvSpPr>
      <xdr:spPr>
        <a:xfrm>
          <a:off x="16668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3%20THANG%202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Users\hp\Desktop\12%20th&#225;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6"/>
      <sheetName val="07"/>
    </sheetNames>
    <sheetDataSet>
      <sheetData sheetId="11">
        <row r="4">
          <cell r="B4" t="str">
            <v>CTHADS Hải Phòng</v>
          </cell>
        </row>
        <row r="7">
          <cell r="B7" t="str">
            <v>
PHÓ CỤC TRƯỞNG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617" t="s">
        <v>26</v>
      </c>
      <c r="B1" s="617"/>
      <c r="C1" s="616" t="s">
        <v>72</v>
      </c>
      <c r="D1" s="616"/>
      <c r="E1" s="616"/>
      <c r="F1" s="618" t="s">
        <v>68</v>
      </c>
      <c r="G1" s="618"/>
      <c r="H1" s="618"/>
    </row>
    <row r="2" spans="1:8" ht="33.75" customHeight="1">
      <c r="A2" s="619" t="s">
        <v>75</v>
      </c>
      <c r="B2" s="619"/>
      <c r="C2" s="616"/>
      <c r="D2" s="616"/>
      <c r="E2" s="616"/>
      <c r="F2" s="615" t="s">
        <v>69</v>
      </c>
      <c r="G2" s="615"/>
      <c r="H2" s="615"/>
    </row>
    <row r="3" spans="1:8" ht="19.5" customHeight="1">
      <c r="A3" s="6" t="s">
        <v>63</v>
      </c>
      <c r="B3" s="6"/>
      <c r="C3" s="24"/>
      <c r="D3" s="24"/>
      <c r="E3" s="24"/>
      <c r="F3" s="615" t="s">
        <v>70</v>
      </c>
      <c r="G3" s="615"/>
      <c r="H3" s="615"/>
    </row>
    <row r="4" spans="1:8" s="7" customFormat="1" ht="19.5" customHeight="1">
      <c r="A4" s="6"/>
      <c r="B4" s="6"/>
      <c r="D4" s="8"/>
      <c r="F4" s="9" t="s">
        <v>71</v>
      </c>
      <c r="G4" s="9"/>
      <c r="H4" s="9"/>
    </row>
    <row r="5" spans="1:8" s="23" customFormat="1" ht="36" customHeight="1">
      <c r="A5" s="597" t="s">
        <v>55</v>
      </c>
      <c r="B5" s="598"/>
      <c r="C5" s="601" t="s">
        <v>66</v>
      </c>
      <c r="D5" s="602"/>
      <c r="E5" s="603" t="s">
        <v>65</v>
      </c>
      <c r="F5" s="603"/>
      <c r="G5" s="603"/>
      <c r="H5" s="604"/>
    </row>
    <row r="6" spans="1:8" s="23" customFormat="1" ht="20.25" customHeight="1">
      <c r="A6" s="599"/>
      <c r="B6" s="600"/>
      <c r="C6" s="605" t="s">
        <v>3</v>
      </c>
      <c r="D6" s="605" t="s">
        <v>73</v>
      </c>
      <c r="E6" s="607" t="s">
        <v>67</v>
      </c>
      <c r="F6" s="604"/>
      <c r="G6" s="607" t="s">
        <v>74</v>
      </c>
      <c r="H6" s="604"/>
    </row>
    <row r="7" spans="1:8" s="23" customFormat="1" ht="52.5" customHeight="1">
      <c r="A7" s="599"/>
      <c r="B7" s="600"/>
      <c r="C7" s="606"/>
      <c r="D7" s="606"/>
      <c r="E7" s="5" t="s">
        <v>3</v>
      </c>
      <c r="F7" s="5" t="s">
        <v>9</v>
      </c>
      <c r="G7" s="5" t="s">
        <v>3</v>
      </c>
      <c r="H7" s="5" t="s">
        <v>9</v>
      </c>
    </row>
    <row r="8" spans="1:8" ht="15" customHeight="1">
      <c r="A8" s="609" t="s">
        <v>6</v>
      </c>
      <c r="B8" s="610"/>
      <c r="C8" s="10">
        <v>1</v>
      </c>
      <c r="D8" s="10" t="s">
        <v>44</v>
      </c>
      <c r="E8" s="10" t="s">
        <v>47</v>
      </c>
      <c r="F8" s="10" t="s">
        <v>56</v>
      </c>
      <c r="G8" s="10" t="s">
        <v>57</v>
      </c>
      <c r="H8" s="10" t="s">
        <v>58</v>
      </c>
    </row>
    <row r="9" spans="1:8" ht="26.25" customHeight="1">
      <c r="A9" s="611" t="s">
        <v>33</v>
      </c>
      <c r="B9" s="612"/>
      <c r="C9" s="10"/>
      <c r="D9" s="10"/>
      <c r="E9" s="10"/>
      <c r="F9" s="10"/>
      <c r="G9" s="10"/>
      <c r="H9" s="10"/>
    </row>
    <row r="10" spans="1:8" ht="24.75" customHeight="1">
      <c r="A10" s="11" t="s">
        <v>0</v>
      </c>
      <c r="B10" s="12" t="s">
        <v>10</v>
      </c>
      <c r="C10" s="4"/>
      <c r="D10" s="13"/>
      <c r="E10" s="13"/>
      <c r="F10" s="13"/>
      <c r="G10" s="13"/>
      <c r="H10" s="13"/>
    </row>
    <row r="11" spans="1:8" ht="24.75" customHeight="1">
      <c r="A11" s="14" t="s">
        <v>1</v>
      </c>
      <c r="B11" s="15" t="s">
        <v>11</v>
      </c>
      <c r="C11" s="4"/>
      <c r="D11" s="13"/>
      <c r="E11" s="13"/>
      <c r="F11" s="13"/>
      <c r="G11" s="13"/>
      <c r="H11" s="13"/>
    </row>
    <row r="12" spans="1:8" ht="24.75" customHeight="1">
      <c r="A12" s="16" t="s">
        <v>43</v>
      </c>
      <c r="B12" s="4" t="s">
        <v>12</v>
      </c>
      <c r="C12" s="4"/>
      <c r="D12" s="13"/>
      <c r="E12" s="13"/>
      <c r="F12" s="13"/>
      <c r="G12" s="13"/>
      <c r="H12" s="13"/>
    </row>
    <row r="13" spans="1:8" ht="24.75" customHeight="1">
      <c r="A13" s="16" t="s">
        <v>44</v>
      </c>
      <c r="B13" s="4" t="s">
        <v>12</v>
      </c>
      <c r="C13" s="4"/>
      <c r="D13" s="13"/>
      <c r="E13" s="13"/>
      <c r="F13" s="13"/>
      <c r="G13" s="13"/>
      <c r="H13" s="13"/>
    </row>
    <row r="14" spans="1:8" ht="24.75" customHeight="1">
      <c r="A14" s="16" t="s">
        <v>47</v>
      </c>
      <c r="B14" s="4" t="s">
        <v>12</v>
      </c>
      <c r="C14" s="4"/>
      <c r="D14" s="13"/>
      <c r="E14" s="13"/>
      <c r="F14" s="13"/>
      <c r="G14" s="13"/>
      <c r="H14" s="13"/>
    </row>
    <row r="15" spans="1:8" ht="24.75" customHeight="1">
      <c r="A15" s="16" t="s">
        <v>18</v>
      </c>
      <c r="B15" s="25" t="s">
        <v>18</v>
      </c>
      <c r="C15" s="17"/>
      <c r="D15" s="18"/>
      <c r="E15" s="18"/>
      <c r="F15" s="18"/>
      <c r="G15" s="18"/>
      <c r="H15" s="18"/>
    </row>
    <row r="16" spans="2:8" ht="16.5" customHeight="1">
      <c r="B16" s="613" t="s">
        <v>54</v>
      </c>
      <c r="C16" s="613"/>
      <c r="D16" s="26"/>
      <c r="E16" s="594" t="s">
        <v>19</v>
      </c>
      <c r="F16" s="594"/>
      <c r="G16" s="594"/>
      <c r="H16" s="594"/>
    </row>
    <row r="17" spans="2:8" ht="15.75" customHeight="1">
      <c r="B17" s="613"/>
      <c r="C17" s="613"/>
      <c r="D17" s="26"/>
      <c r="E17" s="595" t="s">
        <v>38</v>
      </c>
      <c r="F17" s="595"/>
      <c r="G17" s="595"/>
      <c r="H17" s="595"/>
    </row>
    <row r="18" spans="2:8" s="27" customFormat="1" ht="15.75" customHeight="1">
      <c r="B18" s="613"/>
      <c r="C18" s="613"/>
      <c r="D18" s="28"/>
      <c r="E18" s="596" t="s">
        <v>53</v>
      </c>
      <c r="F18" s="596"/>
      <c r="G18" s="596"/>
      <c r="H18" s="596"/>
    </row>
    <row r="20" ht="15.75">
      <c r="B20" s="19"/>
    </row>
    <row r="22" ht="15.75" hidden="1">
      <c r="A22" s="20" t="s">
        <v>41</v>
      </c>
    </row>
    <row r="23" spans="1:3" ht="15.75" hidden="1">
      <c r="A23" s="21"/>
      <c r="B23" s="614" t="s">
        <v>48</v>
      </c>
      <c r="C23" s="614"/>
    </row>
    <row r="24" spans="1:8" ht="15.75" customHeight="1" hidden="1">
      <c r="A24" s="22" t="s">
        <v>25</v>
      </c>
      <c r="B24" s="608" t="s">
        <v>51</v>
      </c>
      <c r="C24" s="608"/>
      <c r="D24" s="22"/>
      <c r="E24" s="22"/>
      <c r="F24" s="22"/>
      <c r="G24" s="22"/>
      <c r="H24" s="22"/>
    </row>
    <row r="25" spans="1:8" ht="15" customHeight="1" hidden="1">
      <c r="A25" s="22"/>
      <c r="B25" s="608" t="s">
        <v>52</v>
      </c>
      <c r="C25" s="608"/>
      <c r="D25" s="608"/>
      <c r="E25" s="22"/>
      <c r="F25" s="22"/>
      <c r="G25" s="22"/>
      <c r="H25" s="22"/>
    </row>
    <row r="26" spans="2:3" ht="15.75">
      <c r="B26" s="23"/>
      <c r="C26" s="23"/>
    </row>
  </sheetData>
  <sheetProtection/>
  <mergeCells count="22">
    <mergeCell ref="F3:H3"/>
    <mergeCell ref="G6:H6"/>
    <mergeCell ref="C1:E2"/>
    <mergeCell ref="C6:C7"/>
    <mergeCell ref="A1:B1"/>
    <mergeCell ref="F1:H1"/>
    <mergeCell ref="A2:B2"/>
    <mergeCell ref="F2:H2"/>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35" customWidth="1"/>
    <col min="2" max="2" width="23.625" style="323" customWidth="1"/>
    <col min="3" max="3" width="9.25390625" style="323" customWidth="1"/>
    <col min="4" max="4" width="15.375" style="323" customWidth="1"/>
    <col min="5" max="5" width="8.375" style="323" customWidth="1"/>
    <col min="6" max="6" width="10.75390625" style="323" customWidth="1"/>
    <col min="7" max="7" width="8.25390625" style="323" customWidth="1"/>
    <col min="8" max="8" width="9.875" style="323" customWidth="1"/>
    <col min="9" max="9" width="8.00390625" style="323" customWidth="1"/>
    <col min="10" max="10" width="12.25390625" style="323" customWidth="1"/>
    <col min="11" max="11" width="9.25390625" style="323" customWidth="1"/>
    <col min="12" max="12" width="11.50390625" style="323" customWidth="1"/>
    <col min="13" max="28" width="8.00390625" style="323" customWidth="1"/>
    <col min="29" max="29" width="8.375" style="323" customWidth="1"/>
    <col min="30" max="30" width="8.00390625" style="323" customWidth="1"/>
    <col min="31" max="31" width="11.25390625" style="323" customWidth="1"/>
    <col min="32" max="32" width="13.50390625" style="323" customWidth="1"/>
    <col min="33" max="16384" width="8.00390625" style="323" customWidth="1"/>
  </cols>
  <sheetData>
    <row r="1" spans="1:12" ht="20.25" customHeight="1">
      <c r="A1" s="779" t="s">
        <v>224</v>
      </c>
      <c r="B1" s="779"/>
      <c r="C1" s="779"/>
      <c r="D1" s="782" t="s">
        <v>340</v>
      </c>
      <c r="E1" s="782"/>
      <c r="F1" s="782"/>
      <c r="G1" s="782"/>
      <c r="H1" s="782"/>
      <c r="I1" s="782"/>
      <c r="J1" s="191" t="s">
        <v>341</v>
      </c>
      <c r="K1" s="322"/>
      <c r="L1" s="322"/>
    </row>
    <row r="2" spans="1:12" ht="18.75" customHeight="1">
      <c r="A2" s="780" t="s">
        <v>299</v>
      </c>
      <c r="B2" s="780"/>
      <c r="C2" s="780"/>
      <c r="D2" s="874" t="s">
        <v>225</v>
      </c>
      <c r="E2" s="874"/>
      <c r="F2" s="874"/>
      <c r="G2" s="874"/>
      <c r="H2" s="874"/>
      <c r="I2" s="874"/>
      <c r="J2" s="779" t="s">
        <v>342</v>
      </c>
      <c r="K2" s="779"/>
      <c r="L2" s="779"/>
    </row>
    <row r="3" spans="1:12" ht="17.25">
      <c r="A3" s="780" t="s">
        <v>251</v>
      </c>
      <c r="B3" s="780"/>
      <c r="C3" s="780"/>
      <c r="D3" s="875" t="s">
        <v>343</v>
      </c>
      <c r="E3" s="876"/>
      <c r="F3" s="876"/>
      <c r="G3" s="876"/>
      <c r="H3" s="876"/>
      <c r="I3" s="876"/>
      <c r="J3" s="194" t="s">
        <v>359</v>
      </c>
      <c r="K3" s="194"/>
      <c r="L3" s="194"/>
    </row>
    <row r="4" spans="1:12" ht="15.75">
      <c r="A4" s="878" t="s">
        <v>344</v>
      </c>
      <c r="B4" s="878"/>
      <c r="C4" s="878"/>
      <c r="D4" s="879"/>
      <c r="E4" s="879"/>
      <c r="F4" s="879"/>
      <c r="G4" s="879"/>
      <c r="H4" s="879"/>
      <c r="I4" s="879"/>
      <c r="J4" s="775" t="s">
        <v>301</v>
      </c>
      <c r="K4" s="775"/>
      <c r="L4" s="775"/>
    </row>
    <row r="5" spans="1:13" ht="15.75">
      <c r="A5" s="324"/>
      <c r="B5" s="324"/>
      <c r="C5" s="325"/>
      <c r="D5" s="325"/>
      <c r="E5" s="193"/>
      <c r="J5" s="326" t="s">
        <v>345</v>
      </c>
      <c r="K5" s="241"/>
      <c r="L5" s="241"/>
      <c r="M5" s="241"/>
    </row>
    <row r="6" spans="1:13" s="329" customFormat="1" ht="24.75" customHeight="1">
      <c r="A6" s="882" t="s">
        <v>55</v>
      </c>
      <c r="B6" s="883"/>
      <c r="C6" s="877" t="s">
        <v>346</v>
      </c>
      <c r="D6" s="877"/>
      <c r="E6" s="877"/>
      <c r="F6" s="877"/>
      <c r="G6" s="877"/>
      <c r="H6" s="877"/>
      <c r="I6" s="877" t="s">
        <v>226</v>
      </c>
      <c r="J6" s="877"/>
      <c r="K6" s="877"/>
      <c r="L6" s="877"/>
      <c r="M6" s="328"/>
    </row>
    <row r="7" spans="1:13" s="329" customFormat="1" ht="17.25" customHeight="1">
      <c r="A7" s="884"/>
      <c r="B7" s="885"/>
      <c r="C7" s="877" t="s">
        <v>31</v>
      </c>
      <c r="D7" s="877"/>
      <c r="E7" s="877" t="s">
        <v>7</v>
      </c>
      <c r="F7" s="877"/>
      <c r="G7" s="877"/>
      <c r="H7" s="877"/>
      <c r="I7" s="877" t="s">
        <v>227</v>
      </c>
      <c r="J7" s="877"/>
      <c r="K7" s="877" t="s">
        <v>228</v>
      </c>
      <c r="L7" s="877"/>
      <c r="M7" s="328"/>
    </row>
    <row r="8" spans="1:12" s="329" customFormat="1" ht="27.75" customHeight="1">
      <c r="A8" s="884"/>
      <c r="B8" s="885"/>
      <c r="C8" s="877"/>
      <c r="D8" s="877"/>
      <c r="E8" s="877" t="s">
        <v>229</v>
      </c>
      <c r="F8" s="877"/>
      <c r="G8" s="877" t="s">
        <v>230</v>
      </c>
      <c r="H8" s="877"/>
      <c r="I8" s="877"/>
      <c r="J8" s="877"/>
      <c r="K8" s="877"/>
      <c r="L8" s="877"/>
    </row>
    <row r="9" spans="1:12" s="329" customFormat="1" ht="24.75" customHeight="1">
      <c r="A9" s="886"/>
      <c r="B9" s="887"/>
      <c r="C9" s="327" t="s">
        <v>231</v>
      </c>
      <c r="D9" s="327" t="s">
        <v>9</v>
      </c>
      <c r="E9" s="327" t="s">
        <v>3</v>
      </c>
      <c r="F9" s="327" t="s">
        <v>232</v>
      </c>
      <c r="G9" s="327" t="s">
        <v>3</v>
      </c>
      <c r="H9" s="327" t="s">
        <v>232</v>
      </c>
      <c r="I9" s="327" t="s">
        <v>3</v>
      </c>
      <c r="J9" s="327" t="s">
        <v>232</v>
      </c>
      <c r="K9" s="327" t="s">
        <v>3</v>
      </c>
      <c r="L9" s="327" t="s">
        <v>232</v>
      </c>
    </row>
    <row r="10" spans="1:12" s="331" customFormat="1" ht="15.75">
      <c r="A10" s="810" t="s">
        <v>6</v>
      </c>
      <c r="B10" s="811"/>
      <c r="C10" s="330">
        <v>1</v>
      </c>
      <c r="D10" s="330">
        <v>2</v>
      </c>
      <c r="E10" s="330">
        <v>3</v>
      </c>
      <c r="F10" s="330">
        <v>4</v>
      </c>
      <c r="G10" s="330">
        <v>5</v>
      </c>
      <c r="H10" s="330">
        <v>6</v>
      </c>
      <c r="I10" s="330">
        <v>7</v>
      </c>
      <c r="J10" s="330">
        <v>8</v>
      </c>
      <c r="K10" s="330">
        <v>9</v>
      </c>
      <c r="L10" s="330">
        <v>10</v>
      </c>
    </row>
    <row r="11" spans="1:12" s="331" customFormat="1" ht="30.75" customHeight="1">
      <c r="A11" s="799" t="s">
        <v>296</v>
      </c>
      <c r="B11" s="800"/>
      <c r="C11" s="248">
        <f aca="true" t="shared" si="0" ref="C11:L11">C13-C12</f>
        <v>0</v>
      </c>
      <c r="D11" s="248">
        <f t="shared" si="0"/>
        <v>0</v>
      </c>
      <c r="E11" s="248">
        <f t="shared" si="0"/>
        <v>0</v>
      </c>
      <c r="F11" s="248">
        <f t="shared" si="0"/>
        <v>0</v>
      </c>
      <c r="G11" s="248">
        <f t="shared" si="0"/>
        <v>0</v>
      </c>
      <c r="H11" s="248">
        <f t="shared" si="0"/>
        <v>0</v>
      </c>
      <c r="I11" s="248">
        <f t="shared" si="0"/>
        <v>0</v>
      </c>
      <c r="J11" s="248">
        <f t="shared" si="0"/>
        <v>0</v>
      </c>
      <c r="K11" s="248">
        <f t="shared" si="0"/>
        <v>0</v>
      </c>
      <c r="L11" s="248">
        <f t="shared" si="0"/>
        <v>0</v>
      </c>
    </row>
    <row r="12" spans="1:12" s="331" customFormat="1" ht="27" customHeight="1">
      <c r="A12" s="786" t="s">
        <v>297</v>
      </c>
      <c r="B12" s="787"/>
      <c r="C12" s="249">
        <v>0</v>
      </c>
      <c r="D12" s="249">
        <v>0</v>
      </c>
      <c r="E12" s="249">
        <v>0</v>
      </c>
      <c r="F12" s="249">
        <v>0</v>
      </c>
      <c r="G12" s="249">
        <v>0</v>
      </c>
      <c r="H12" s="249">
        <v>0</v>
      </c>
      <c r="I12" s="249">
        <v>0</v>
      </c>
      <c r="J12" s="249">
        <v>0</v>
      </c>
      <c r="K12" s="249">
        <v>0</v>
      </c>
      <c r="L12" s="249">
        <v>0</v>
      </c>
    </row>
    <row r="13" spans="1:32" s="331" customFormat="1" ht="17.25" customHeight="1">
      <c r="A13" s="794" t="s">
        <v>30</v>
      </c>
      <c r="B13" s="788"/>
      <c r="C13" s="332">
        <f aca="true" t="shared" si="1" ref="C13:L13">C14+C15</f>
        <v>0</v>
      </c>
      <c r="D13" s="332">
        <f t="shared" si="1"/>
        <v>0</v>
      </c>
      <c r="E13" s="332">
        <f t="shared" si="1"/>
        <v>0</v>
      </c>
      <c r="F13" s="332">
        <f t="shared" si="1"/>
        <v>0</v>
      </c>
      <c r="G13" s="332">
        <f t="shared" si="1"/>
        <v>0</v>
      </c>
      <c r="H13" s="332">
        <f t="shared" si="1"/>
        <v>0</v>
      </c>
      <c r="I13" s="332">
        <f t="shared" si="1"/>
        <v>0</v>
      </c>
      <c r="J13" s="332">
        <f t="shared" si="1"/>
        <v>0</v>
      </c>
      <c r="K13" s="332">
        <f t="shared" si="1"/>
        <v>0</v>
      </c>
      <c r="L13" s="332">
        <f t="shared" si="1"/>
        <v>0</v>
      </c>
      <c r="AF13" s="331">
        <f>AC14-AC15</f>
        <v>0</v>
      </c>
    </row>
    <row r="14" spans="1:37" s="333" customFormat="1" ht="17.25" customHeight="1">
      <c r="A14" s="197" t="s">
        <v>0</v>
      </c>
      <c r="B14" s="198" t="s">
        <v>78</v>
      </c>
      <c r="C14" s="332">
        <f>C15+C16</f>
        <v>0</v>
      </c>
      <c r="D14" s="332">
        <f>D15+D16</f>
        <v>0</v>
      </c>
      <c r="E14" s="252">
        <v>0</v>
      </c>
      <c r="F14" s="252">
        <v>0</v>
      </c>
      <c r="G14" s="252">
        <v>0</v>
      </c>
      <c r="H14" s="252">
        <v>0</v>
      </c>
      <c r="I14" s="252">
        <v>0</v>
      </c>
      <c r="J14" s="252">
        <v>0</v>
      </c>
      <c r="K14" s="252">
        <v>0</v>
      </c>
      <c r="L14" s="252">
        <v>0</v>
      </c>
      <c r="AK14" s="334"/>
    </row>
    <row r="15" spans="1:12" s="333" customFormat="1" ht="17.25" customHeight="1">
      <c r="A15" s="254" t="s">
        <v>1</v>
      </c>
      <c r="B15" s="198" t="s">
        <v>17</v>
      </c>
      <c r="C15" s="332">
        <f aca="true" t="shared" si="2" ref="C15:L15">C16+C17+C18+C19+C20+C21+C22+C23+C24+C25+C26</f>
        <v>0</v>
      </c>
      <c r="D15" s="332">
        <f t="shared" si="2"/>
        <v>0</v>
      </c>
      <c r="E15" s="332">
        <f t="shared" si="2"/>
        <v>0</v>
      </c>
      <c r="F15" s="332">
        <f t="shared" si="2"/>
        <v>0</v>
      </c>
      <c r="G15" s="332">
        <f t="shared" si="2"/>
        <v>0</v>
      </c>
      <c r="H15" s="332">
        <f t="shared" si="2"/>
        <v>0</v>
      </c>
      <c r="I15" s="332">
        <f t="shared" si="2"/>
        <v>0</v>
      </c>
      <c r="J15" s="332">
        <f t="shared" si="2"/>
        <v>0</v>
      </c>
      <c r="K15" s="332">
        <f t="shared" si="2"/>
        <v>0</v>
      </c>
      <c r="L15" s="332">
        <f t="shared" si="2"/>
        <v>0</v>
      </c>
    </row>
    <row r="16" spans="1:38" s="333" customFormat="1" ht="17.25" customHeight="1">
      <c r="A16" s="200">
        <v>1</v>
      </c>
      <c r="B16" s="68" t="s">
        <v>266</v>
      </c>
      <c r="C16" s="332">
        <f aca="true" t="shared" si="3" ref="C16:C26">E16+G16</f>
        <v>0</v>
      </c>
      <c r="D16" s="332">
        <f aca="true" t="shared" si="4" ref="D16:D26">F16+H16</f>
        <v>0</v>
      </c>
      <c r="E16" s="252">
        <v>0</v>
      </c>
      <c r="F16" s="252">
        <v>0</v>
      </c>
      <c r="G16" s="252">
        <v>0</v>
      </c>
      <c r="H16" s="252">
        <v>0</v>
      </c>
      <c r="I16" s="252">
        <v>0</v>
      </c>
      <c r="J16" s="252">
        <v>0</v>
      </c>
      <c r="K16" s="252">
        <v>0</v>
      </c>
      <c r="L16" s="252">
        <v>0</v>
      </c>
      <c r="AL16" s="334"/>
    </row>
    <row r="17" spans="1:32" s="333" customFormat="1" ht="17.25" customHeight="1">
      <c r="A17" s="200">
        <v>2</v>
      </c>
      <c r="B17" s="68" t="s">
        <v>298</v>
      </c>
      <c r="C17" s="332">
        <f t="shared" si="3"/>
        <v>0</v>
      </c>
      <c r="D17" s="332">
        <f t="shared" si="4"/>
        <v>0</v>
      </c>
      <c r="E17" s="252">
        <v>0</v>
      </c>
      <c r="F17" s="252">
        <v>0</v>
      </c>
      <c r="G17" s="252">
        <v>0</v>
      </c>
      <c r="H17" s="252">
        <v>0</v>
      </c>
      <c r="I17" s="252">
        <v>0</v>
      </c>
      <c r="J17" s="252">
        <v>0</v>
      </c>
      <c r="K17" s="252">
        <v>0</v>
      </c>
      <c r="L17" s="252">
        <v>0</v>
      </c>
      <c r="AF17" s="334" t="e">
        <f>(R17-D17)/D17</f>
        <v>#DIV/0!</v>
      </c>
    </row>
    <row r="18" spans="1:12" s="333" customFormat="1" ht="17.25" customHeight="1">
      <c r="A18" s="200">
        <v>3</v>
      </c>
      <c r="B18" s="68" t="s">
        <v>269</v>
      </c>
      <c r="C18" s="332">
        <f t="shared" si="3"/>
        <v>0</v>
      </c>
      <c r="D18" s="332">
        <f t="shared" si="4"/>
        <v>0</v>
      </c>
      <c r="E18" s="252">
        <v>0</v>
      </c>
      <c r="F18" s="252">
        <v>0</v>
      </c>
      <c r="G18" s="252">
        <v>0</v>
      </c>
      <c r="H18" s="252">
        <v>0</v>
      </c>
      <c r="I18" s="252">
        <v>0</v>
      </c>
      <c r="J18" s="252">
        <v>0</v>
      </c>
      <c r="K18" s="252">
        <v>0</v>
      </c>
      <c r="L18" s="252">
        <v>0</v>
      </c>
    </row>
    <row r="19" spans="1:12" s="333" customFormat="1" ht="17.25" customHeight="1">
      <c r="A19" s="200">
        <v>4</v>
      </c>
      <c r="B19" s="68" t="s">
        <v>270</v>
      </c>
      <c r="C19" s="332">
        <f t="shared" si="3"/>
        <v>0</v>
      </c>
      <c r="D19" s="332">
        <f t="shared" si="4"/>
        <v>0</v>
      </c>
      <c r="E19" s="252">
        <v>0</v>
      </c>
      <c r="F19" s="252">
        <v>0</v>
      </c>
      <c r="G19" s="252">
        <v>0</v>
      </c>
      <c r="H19" s="252">
        <v>0</v>
      </c>
      <c r="I19" s="252">
        <v>0</v>
      </c>
      <c r="J19" s="252">
        <v>0</v>
      </c>
      <c r="K19" s="252">
        <v>0</v>
      </c>
      <c r="L19" s="252">
        <v>0</v>
      </c>
    </row>
    <row r="20" spans="1:12" s="333" customFormat="1" ht="17.25" customHeight="1">
      <c r="A20" s="200">
        <v>5</v>
      </c>
      <c r="B20" s="68" t="s">
        <v>271</v>
      </c>
      <c r="C20" s="332">
        <f t="shared" si="3"/>
        <v>0</v>
      </c>
      <c r="D20" s="332">
        <f t="shared" si="4"/>
        <v>0</v>
      </c>
      <c r="E20" s="252">
        <v>0</v>
      </c>
      <c r="F20" s="252">
        <v>0</v>
      </c>
      <c r="G20" s="252">
        <v>0</v>
      </c>
      <c r="H20" s="252">
        <v>0</v>
      </c>
      <c r="I20" s="252">
        <v>0</v>
      </c>
      <c r="J20" s="252">
        <v>0</v>
      </c>
      <c r="K20" s="252">
        <v>0</v>
      </c>
      <c r="L20" s="252">
        <v>0</v>
      </c>
    </row>
    <row r="21" spans="1:39" s="333" customFormat="1" ht="17.25" customHeight="1">
      <c r="A21" s="200">
        <v>6</v>
      </c>
      <c r="B21" s="68" t="s">
        <v>272</v>
      </c>
      <c r="C21" s="332">
        <f t="shared" si="3"/>
        <v>0</v>
      </c>
      <c r="D21" s="332">
        <f t="shared" si="4"/>
        <v>0</v>
      </c>
      <c r="E21" s="252">
        <v>0</v>
      </c>
      <c r="F21" s="252">
        <v>0</v>
      </c>
      <c r="G21" s="252">
        <v>0</v>
      </c>
      <c r="H21" s="252">
        <v>0</v>
      </c>
      <c r="I21" s="252">
        <v>0</v>
      </c>
      <c r="J21" s="252">
        <v>0</v>
      </c>
      <c r="K21" s="252">
        <v>0</v>
      </c>
      <c r="L21" s="252">
        <v>0</v>
      </c>
      <c r="AJ21" s="333">
        <f>AI20-AI21</f>
        <v>0</v>
      </c>
      <c r="AK21" s="333">
        <v>1653</v>
      </c>
      <c r="AL21" s="333">
        <f>AI20-AK21</f>
        <v>-1653</v>
      </c>
      <c r="AM21" s="334" t="e">
        <f>AL21/AI20</f>
        <v>#DIV/0!</v>
      </c>
    </row>
    <row r="22" spans="1:39" s="333" customFormat="1" ht="17.25" customHeight="1">
      <c r="A22" s="200">
        <v>7</v>
      </c>
      <c r="B22" s="68" t="s">
        <v>277</v>
      </c>
      <c r="C22" s="332">
        <f t="shared" si="3"/>
        <v>0</v>
      </c>
      <c r="D22" s="332">
        <f t="shared" si="4"/>
        <v>0</v>
      </c>
      <c r="E22" s="252">
        <v>0</v>
      </c>
      <c r="F22" s="252">
        <v>0</v>
      </c>
      <c r="G22" s="252">
        <v>0</v>
      </c>
      <c r="H22" s="252">
        <v>0</v>
      </c>
      <c r="I22" s="252">
        <v>0</v>
      </c>
      <c r="J22" s="252">
        <v>0</v>
      </c>
      <c r="K22" s="252">
        <v>0</v>
      </c>
      <c r="L22" s="252">
        <v>0</v>
      </c>
      <c r="AM22" s="334" t="e">
        <f>AN20-AM21</f>
        <v>#DIV/0!</v>
      </c>
    </row>
    <row r="23" spans="1:12" s="333" customFormat="1" ht="17.25" customHeight="1">
      <c r="A23" s="200">
        <v>8</v>
      </c>
      <c r="B23" s="68" t="s">
        <v>279</v>
      </c>
      <c r="C23" s="332">
        <f t="shared" si="3"/>
        <v>0</v>
      </c>
      <c r="D23" s="332">
        <f t="shared" si="4"/>
        <v>0</v>
      </c>
      <c r="E23" s="252">
        <v>0</v>
      </c>
      <c r="F23" s="252">
        <v>0</v>
      </c>
      <c r="G23" s="252">
        <v>0</v>
      </c>
      <c r="H23" s="252">
        <v>0</v>
      </c>
      <c r="I23" s="252">
        <v>0</v>
      </c>
      <c r="J23" s="252">
        <v>0</v>
      </c>
      <c r="K23" s="252">
        <v>0</v>
      </c>
      <c r="L23" s="252">
        <v>0</v>
      </c>
    </row>
    <row r="24" spans="1:36" s="333" customFormat="1" ht="17.25" customHeight="1">
      <c r="A24" s="200">
        <v>9</v>
      </c>
      <c r="B24" s="68" t="s">
        <v>280</v>
      </c>
      <c r="C24" s="332">
        <f t="shared" si="3"/>
        <v>0</v>
      </c>
      <c r="D24" s="332">
        <f t="shared" si="4"/>
        <v>0</v>
      </c>
      <c r="E24" s="252">
        <v>0</v>
      </c>
      <c r="F24" s="252">
        <v>0</v>
      </c>
      <c r="G24" s="252">
        <v>0</v>
      </c>
      <c r="H24" s="252">
        <v>0</v>
      </c>
      <c r="I24" s="252">
        <v>0</v>
      </c>
      <c r="J24" s="252">
        <v>0</v>
      </c>
      <c r="K24" s="252">
        <v>0</v>
      </c>
      <c r="L24" s="252">
        <v>0</v>
      </c>
      <c r="AJ24" s="333">
        <f>AI23-AI24</f>
        <v>0</v>
      </c>
    </row>
    <row r="25" spans="1:36" s="333" customFormat="1" ht="17.25" customHeight="1">
      <c r="A25" s="200">
        <v>10</v>
      </c>
      <c r="B25" s="68" t="s">
        <v>281</v>
      </c>
      <c r="C25" s="332">
        <f t="shared" si="3"/>
        <v>0</v>
      </c>
      <c r="D25" s="332">
        <f t="shared" si="4"/>
        <v>0</v>
      </c>
      <c r="E25" s="252">
        <v>0</v>
      </c>
      <c r="F25" s="252">
        <v>0</v>
      </c>
      <c r="G25" s="252">
        <v>0</v>
      </c>
      <c r="H25" s="252">
        <v>0</v>
      </c>
      <c r="I25" s="252">
        <v>0</v>
      </c>
      <c r="J25" s="252">
        <v>0</v>
      </c>
      <c r="K25" s="252">
        <v>0</v>
      </c>
      <c r="L25" s="252">
        <v>0</v>
      </c>
      <c r="AJ25" s="334" t="e">
        <f>AI24/AI25</f>
        <v>#DIV/0!</v>
      </c>
    </row>
    <row r="26" spans="1:44" s="333" customFormat="1" ht="17.25" customHeight="1">
      <c r="A26" s="200">
        <v>11</v>
      </c>
      <c r="B26" s="68" t="s">
        <v>283</v>
      </c>
      <c r="C26" s="332">
        <f t="shared" si="3"/>
        <v>0</v>
      </c>
      <c r="D26" s="332">
        <f t="shared" si="4"/>
        <v>0</v>
      </c>
      <c r="E26" s="252">
        <v>0</v>
      </c>
      <c r="F26" s="252">
        <v>0</v>
      </c>
      <c r="G26" s="252">
        <v>0</v>
      </c>
      <c r="H26" s="252">
        <v>0</v>
      </c>
      <c r="I26" s="252">
        <v>0</v>
      </c>
      <c r="J26" s="252">
        <v>0</v>
      </c>
      <c r="K26" s="252">
        <v>0</v>
      </c>
      <c r="L26" s="252">
        <v>0</v>
      </c>
      <c r="AR26" s="334"/>
    </row>
    <row r="27" ht="7.5" customHeight="1"/>
    <row r="28" spans="1:35" s="192" customFormat="1" ht="15.75" customHeight="1">
      <c r="A28" s="202"/>
      <c r="B28" s="791" t="s">
        <v>284</v>
      </c>
      <c r="C28" s="791"/>
      <c r="D28" s="791"/>
      <c r="E28" s="204"/>
      <c r="F28" s="258"/>
      <c r="G28" s="258"/>
      <c r="H28" s="790" t="s">
        <v>284</v>
      </c>
      <c r="I28" s="790"/>
      <c r="J28" s="790"/>
      <c r="K28" s="790"/>
      <c r="L28" s="790"/>
      <c r="AG28" s="192" t="s">
        <v>285</v>
      </c>
      <c r="AI28" s="190">
        <f>82/88</f>
        <v>0.9318181818181818</v>
      </c>
    </row>
    <row r="29" spans="1:12" s="192" customFormat="1" ht="19.5" customHeight="1">
      <c r="A29" s="202"/>
      <c r="B29" s="792" t="s">
        <v>233</v>
      </c>
      <c r="C29" s="792"/>
      <c r="D29" s="792"/>
      <c r="E29" s="204"/>
      <c r="F29" s="205"/>
      <c r="G29" s="205"/>
      <c r="H29" s="793" t="s">
        <v>151</v>
      </c>
      <c r="I29" s="793"/>
      <c r="J29" s="793"/>
      <c r="K29" s="793"/>
      <c r="L29" s="793"/>
    </row>
    <row r="30" spans="1:12" s="196" customFormat="1" ht="15" customHeight="1">
      <c r="A30" s="202"/>
      <c r="B30" s="881"/>
      <c r="C30" s="881"/>
      <c r="D30" s="881"/>
      <c r="E30" s="204"/>
      <c r="F30" s="205"/>
      <c r="G30" s="205"/>
      <c r="H30" s="754"/>
      <c r="I30" s="754"/>
      <c r="J30" s="754"/>
      <c r="K30" s="754"/>
      <c r="L30" s="754"/>
    </row>
    <row r="31" spans="1:12" s="192" customFormat="1" ht="15" customHeight="1">
      <c r="A31" s="202"/>
      <c r="B31" s="203"/>
      <c r="C31" s="203"/>
      <c r="D31" s="204"/>
      <c r="E31" s="204"/>
      <c r="F31" s="205"/>
      <c r="G31" s="205"/>
      <c r="H31" s="207"/>
      <c r="I31" s="207"/>
      <c r="J31" s="207"/>
      <c r="K31" s="207"/>
      <c r="L31" s="207"/>
    </row>
    <row r="32" spans="1:12" s="192" customFormat="1" ht="15" customHeight="1">
      <c r="A32" s="202"/>
      <c r="B32" s="203"/>
      <c r="C32" s="203"/>
      <c r="D32" s="204"/>
      <c r="E32" s="204"/>
      <c r="F32" s="205"/>
      <c r="G32" s="205"/>
      <c r="H32" s="207"/>
      <c r="I32" s="207"/>
      <c r="J32" s="207"/>
      <c r="K32" s="207"/>
      <c r="L32" s="207"/>
    </row>
    <row r="33" spans="2:12" ht="19.5">
      <c r="B33" s="888" t="s">
        <v>288</v>
      </c>
      <c r="C33" s="888"/>
      <c r="D33" s="888"/>
      <c r="E33" s="336"/>
      <c r="F33" s="336"/>
      <c r="G33" s="336"/>
      <c r="H33" s="336"/>
      <c r="I33" s="336"/>
      <c r="J33" s="337" t="s">
        <v>288</v>
      </c>
      <c r="K33" s="336"/>
      <c r="L33" s="336"/>
    </row>
    <row r="34" spans="2:12" ht="18.75">
      <c r="B34" s="336"/>
      <c r="C34" s="336"/>
      <c r="D34" s="336"/>
      <c r="E34" s="336"/>
      <c r="F34" s="336"/>
      <c r="G34" s="336"/>
      <c r="H34" s="336"/>
      <c r="I34" s="336"/>
      <c r="J34" s="336"/>
      <c r="K34" s="336"/>
      <c r="L34" s="336"/>
    </row>
    <row r="35" spans="2:12" ht="18.75">
      <c r="B35" s="336"/>
      <c r="C35" s="336"/>
      <c r="D35" s="336"/>
      <c r="E35" s="336"/>
      <c r="F35" s="336"/>
      <c r="G35" s="336"/>
      <c r="H35" s="336"/>
      <c r="I35" s="336"/>
      <c r="J35" s="336"/>
      <c r="K35" s="336"/>
      <c r="L35" s="336"/>
    </row>
    <row r="36" spans="1:12" s="184" customFormat="1" ht="18.75" hidden="1">
      <c r="A36" s="235" t="s">
        <v>39</v>
      </c>
      <c r="B36" s="186"/>
      <c r="C36" s="186"/>
      <c r="D36" s="186"/>
      <c r="E36" s="186"/>
      <c r="F36" s="186"/>
      <c r="G36" s="186"/>
      <c r="H36" s="186"/>
      <c r="I36" s="186"/>
      <c r="J36" s="186"/>
      <c r="K36" s="338"/>
      <c r="L36" s="186"/>
    </row>
    <row r="37" spans="1:15" s="184" customFormat="1" ht="15" customHeight="1" hidden="1">
      <c r="A37" s="188"/>
      <c r="B37" s="880" t="s">
        <v>234</v>
      </c>
      <c r="C37" s="880"/>
      <c r="D37" s="880"/>
      <c r="E37" s="880"/>
      <c r="F37" s="880"/>
      <c r="G37" s="880"/>
      <c r="H37" s="880"/>
      <c r="I37" s="880"/>
      <c r="J37" s="880"/>
      <c r="K37" s="339"/>
      <c r="L37" s="294"/>
      <c r="M37" s="265"/>
      <c r="N37" s="265"/>
      <c r="O37" s="265"/>
    </row>
    <row r="38" spans="2:12" s="184" customFormat="1" ht="18.75" hidden="1">
      <c r="B38" s="236" t="s">
        <v>235</v>
      </c>
      <c r="C38" s="186"/>
      <c r="D38" s="186"/>
      <c r="E38" s="186"/>
      <c r="F38" s="186"/>
      <c r="G38" s="186"/>
      <c r="H38" s="186"/>
      <c r="I38" s="186"/>
      <c r="J38" s="186"/>
      <c r="K38" s="338"/>
      <c r="L38" s="186"/>
    </row>
    <row r="39" spans="2:12" ht="18.75" hidden="1">
      <c r="B39" s="340" t="s">
        <v>236</v>
      </c>
      <c r="C39" s="336"/>
      <c r="D39" s="336"/>
      <c r="E39" s="336"/>
      <c r="F39" s="336"/>
      <c r="G39" s="336"/>
      <c r="H39" s="336"/>
      <c r="I39" s="336"/>
      <c r="J39" s="336"/>
      <c r="K39" s="336"/>
      <c r="L39" s="336"/>
    </row>
    <row r="40" spans="2:12" ht="18.75" hidden="1">
      <c r="B40" s="336"/>
      <c r="C40" s="336"/>
      <c r="D40" s="336"/>
      <c r="E40" s="336"/>
      <c r="F40" s="336"/>
      <c r="G40" s="336"/>
      <c r="H40" s="336"/>
      <c r="I40" s="336"/>
      <c r="J40" s="336"/>
      <c r="K40" s="336"/>
      <c r="L40" s="336"/>
    </row>
    <row r="41" spans="2:13" ht="18.75">
      <c r="B41" s="650" t="s">
        <v>330</v>
      </c>
      <c r="C41" s="650"/>
      <c r="D41" s="650"/>
      <c r="E41" s="210"/>
      <c r="F41" s="210"/>
      <c r="G41" s="182"/>
      <c r="H41" s="651" t="s">
        <v>242</v>
      </c>
      <c r="I41" s="651"/>
      <c r="J41" s="651"/>
      <c r="K41" s="651"/>
      <c r="L41" s="651"/>
      <c r="M41" s="163"/>
    </row>
    <row r="42" spans="2:12" ht="18.75">
      <c r="B42" s="336"/>
      <c r="C42" s="336"/>
      <c r="D42" s="336"/>
      <c r="E42" s="336"/>
      <c r="F42" s="336"/>
      <c r="G42" s="336"/>
      <c r="H42" s="336"/>
      <c r="I42" s="336"/>
      <c r="J42" s="336"/>
      <c r="K42" s="336"/>
      <c r="L42" s="336"/>
    </row>
  </sheetData>
  <sheetProtection/>
  <mergeCells count="33">
    <mergeCell ref="H29:L29"/>
    <mergeCell ref="A13:B13"/>
    <mergeCell ref="B33:D33"/>
    <mergeCell ref="K7:L8"/>
    <mergeCell ref="H30:L30"/>
    <mergeCell ref="A12:B12"/>
    <mergeCell ref="A11:B11"/>
    <mergeCell ref="J2:L2"/>
    <mergeCell ref="B30:D30"/>
    <mergeCell ref="B29:D29"/>
    <mergeCell ref="A6:B9"/>
    <mergeCell ref="B28:D28"/>
    <mergeCell ref="E8:F8"/>
    <mergeCell ref="G8:H8"/>
    <mergeCell ref="I7:J8"/>
    <mergeCell ref="A10:B10"/>
    <mergeCell ref="H28:L28"/>
    <mergeCell ref="J4:L4"/>
    <mergeCell ref="B41:D41"/>
    <mergeCell ref="H41:L41"/>
    <mergeCell ref="C6:H6"/>
    <mergeCell ref="A4:C4"/>
    <mergeCell ref="D4:I4"/>
    <mergeCell ref="B37:J37"/>
    <mergeCell ref="C7:D8"/>
    <mergeCell ref="E7:H7"/>
    <mergeCell ref="I6:L6"/>
    <mergeCell ref="A1:C1"/>
    <mergeCell ref="D1:I1"/>
    <mergeCell ref="D2:I2"/>
    <mergeCell ref="D3:I3"/>
    <mergeCell ref="A2:C2"/>
    <mergeCell ref="A3:C3"/>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1" hidden="1" customWidth="1"/>
    <col min="12" max="12" width="68.75390625" style="341" customWidth="1"/>
    <col min="13" max="13" width="16.125" style="341" bestFit="1" customWidth="1"/>
    <col min="14" max="14" width="47.625" style="341" customWidth="1"/>
    <col min="15" max="16384" width="9.00390625" style="341" customWidth="1"/>
  </cols>
  <sheetData>
    <row r="1" spans="12:25" ht="54.75" customHeight="1">
      <c r="L1" s="889" t="s">
        <v>372</v>
      </c>
      <c r="M1" s="890"/>
      <c r="N1" s="890"/>
      <c r="O1" s="365"/>
      <c r="P1" s="365"/>
      <c r="Q1" s="365"/>
      <c r="R1" s="365"/>
      <c r="S1" s="365"/>
      <c r="T1" s="365"/>
      <c r="U1" s="365"/>
      <c r="V1" s="365"/>
      <c r="W1" s="365"/>
      <c r="X1" s="365"/>
      <c r="Y1" s="366"/>
    </row>
    <row r="2" spans="11:17" ht="34.5" customHeight="1">
      <c r="K2" s="349"/>
      <c r="L2" s="891" t="s">
        <v>379</v>
      </c>
      <c r="M2" s="892"/>
      <c r="N2" s="893"/>
      <c r="O2" s="29"/>
      <c r="P2" s="351"/>
      <c r="Q2" s="347"/>
    </row>
    <row r="3" spans="11:18" ht="31.5" customHeight="1">
      <c r="K3" s="349"/>
      <c r="L3" s="354" t="s">
        <v>388</v>
      </c>
      <c r="M3" s="355">
        <f>'06'!C11</f>
        <v>11686</v>
      </c>
      <c r="N3" s="355"/>
      <c r="O3" s="355"/>
      <c r="P3" s="352"/>
      <c r="Q3" s="348"/>
      <c r="R3" s="345"/>
    </row>
    <row r="4" spans="11:18" ht="30" customHeight="1">
      <c r="K4" s="349"/>
      <c r="L4" s="356" t="s">
        <v>373</v>
      </c>
      <c r="M4" s="357">
        <f>'06'!D11</f>
        <v>8097</v>
      </c>
      <c r="N4" s="355"/>
      <c r="O4" s="355"/>
      <c r="P4" s="352"/>
      <c r="Q4" s="348"/>
      <c r="R4" s="345"/>
    </row>
    <row r="5" spans="11:18" ht="31.5" customHeight="1">
      <c r="K5" s="349"/>
      <c r="L5" s="356" t="s">
        <v>374</v>
      </c>
      <c r="M5" s="357">
        <f>'06'!E11</f>
        <v>3589</v>
      </c>
      <c r="N5" s="355"/>
      <c r="O5" s="355"/>
      <c r="P5" s="352"/>
      <c r="Q5" s="348"/>
      <c r="R5" s="345"/>
    </row>
    <row r="6" spans="11:18" ht="27" customHeight="1">
      <c r="K6" s="349"/>
      <c r="L6" s="354" t="s">
        <v>375</v>
      </c>
      <c r="M6" s="355">
        <f>'06'!F11</f>
        <v>47</v>
      </c>
      <c r="N6" s="355"/>
      <c r="O6" s="355"/>
      <c r="P6" s="352"/>
      <c r="Q6" s="348"/>
      <c r="R6" s="345"/>
    </row>
    <row r="7" spans="11:18" s="342" customFormat="1" ht="30" customHeight="1">
      <c r="K7" s="350"/>
      <c r="L7" s="358" t="s">
        <v>390</v>
      </c>
      <c r="M7" s="355">
        <f>'06'!H11</f>
        <v>11639</v>
      </c>
      <c r="N7" s="355"/>
      <c r="O7" s="355"/>
      <c r="P7" s="352"/>
      <c r="Q7" s="348"/>
      <c r="R7" s="345"/>
    </row>
    <row r="8" spans="11:18" ht="30.75" customHeight="1">
      <c r="K8" s="349"/>
      <c r="L8" s="359" t="s">
        <v>389</v>
      </c>
      <c r="M8" s="360">
        <f>'[7]M6 Tong hop Viec CHV '!$C$12</f>
        <v>1489</v>
      </c>
      <c r="N8" s="355"/>
      <c r="O8" s="355"/>
      <c r="P8" s="352"/>
      <c r="Q8" s="348"/>
      <c r="R8" s="345"/>
    </row>
    <row r="9" spans="11:18" ht="33" customHeight="1">
      <c r="K9" s="349"/>
      <c r="L9" s="367" t="s">
        <v>392</v>
      </c>
      <c r="M9" s="368">
        <f>(M7-M8)/M8</f>
        <v>6.816655473472129</v>
      </c>
      <c r="N9" s="355"/>
      <c r="O9" s="355"/>
      <c r="P9" s="352"/>
      <c r="Q9" s="348"/>
      <c r="R9" s="345"/>
    </row>
    <row r="10" spans="11:18" ht="33" customHeight="1">
      <c r="K10" s="349"/>
      <c r="L10" s="354" t="s">
        <v>391</v>
      </c>
      <c r="M10" s="355">
        <f>'06'!I11</f>
        <v>5883</v>
      </c>
      <c r="N10" s="355" t="s">
        <v>376</v>
      </c>
      <c r="O10" s="361">
        <f>M10/M7</f>
        <v>0.5054557951714065</v>
      </c>
      <c r="P10" s="352"/>
      <c r="Q10" s="348"/>
      <c r="R10" s="345"/>
    </row>
    <row r="11" spans="11:18" ht="22.5" customHeight="1">
      <c r="K11" s="349"/>
      <c r="L11" s="354" t="s">
        <v>393</v>
      </c>
      <c r="M11" s="355">
        <f>'06'!Q11</f>
        <v>5756</v>
      </c>
      <c r="N11" s="355" t="s">
        <v>376</v>
      </c>
      <c r="O11" s="361">
        <f>M11/M7</f>
        <v>0.4945442048285935</v>
      </c>
      <c r="P11" s="352"/>
      <c r="Q11" s="348"/>
      <c r="R11" s="345"/>
    </row>
    <row r="12" spans="11:18" ht="34.5" customHeight="1">
      <c r="K12" s="349"/>
      <c r="L12" s="354" t="s">
        <v>394</v>
      </c>
      <c r="M12" s="355">
        <f>'06'!J11+'06'!K11</f>
        <v>2351</v>
      </c>
      <c r="N12" s="354"/>
      <c r="O12" s="354"/>
      <c r="P12" s="346"/>
      <c r="R12" s="346"/>
    </row>
    <row r="13" spans="11:18" ht="33.75" customHeight="1">
      <c r="K13" s="349"/>
      <c r="L13" s="354" t="s">
        <v>395</v>
      </c>
      <c r="M13" s="361">
        <f>M12/M7</f>
        <v>0.20199329839333277</v>
      </c>
      <c r="N13" s="355"/>
      <c r="O13" s="355"/>
      <c r="P13" s="352"/>
      <c r="R13" s="346"/>
    </row>
    <row r="14" spans="11:18" ht="24.75" customHeight="1" hidden="1">
      <c r="K14" s="349"/>
      <c r="L14" s="354"/>
      <c r="M14" s="355"/>
      <c r="N14" s="355"/>
      <c r="O14" s="355"/>
      <c r="P14" s="352"/>
      <c r="R14" s="346"/>
    </row>
    <row r="15" spans="11:18" ht="24.75" customHeight="1" hidden="1">
      <c r="K15" s="349"/>
      <c r="L15" s="354"/>
      <c r="M15" s="355"/>
      <c r="N15" s="355"/>
      <c r="O15" s="355"/>
      <c r="P15" s="352"/>
      <c r="R15" s="346"/>
    </row>
    <row r="16" spans="11:18" ht="24.75" customHeight="1">
      <c r="K16" s="349"/>
      <c r="L16" s="359" t="s">
        <v>396</v>
      </c>
      <c r="M16" s="360">
        <f>'[7]M6 Tong hop Viec CHV '!$H$12+'[7]M6 Tong hop Viec CHV '!$I$12+'[7]M6 Tong hop Viec CHV '!$K$12</f>
        <v>749</v>
      </c>
      <c r="N16" s="355"/>
      <c r="O16" s="355"/>
      <c r="P16" s="352"/>
      <c r="R16" s="346"/>
    </row>
    <row r="17" spans="11:18" ht="24.75" customHeight="1">
      <c r="K17" s="349"/>
      <c r="L17" s="367" t="s">
        <v>397</v>
      </c>
      <c r="M17" s="362">
        <f>M16/M8</f>
        <v>0.5030221625251847</v>
      </c>
      <c r="N17" s="355"/>
      <c r="O17" s="355"/>
      <c r="P17" s="352"/>
      <c r="R17" s="346"/>
    </row>
    <row r="18" spans="11:18" ht="26.25" customHeight="1">
      <c r="K18" s="349"/>
      <c r="L18" s="367" t="s">
        <v>377</v>
      </c>
      <c r="M18" s="368">
        <f>M13-M17</f>
        <v>-0.3010288641318519</v>
      </c>
      <c r="N18" s="355"/>
      <c r="O18" s="355"/>
      <c r="P18" s="352"/>
      <c r="R18" s="346"/>
    </row>
    <row r="19" spans="11:18" ht="24.75" customHeight="1">
      <c r="K19" s="349"/>
      <c r="L19" s="354" t="s">
        <v>398</v>
      </c>
      <c r="M19" s="355">
        <f>'06'!J11</f>
        <v>2291</v>
      </c>
      <c r="N19" s="355"/>
      <c r="O19" s="355"/>
      <c r="P19" s="352"/>
      <c r="R19" s="346"/>
    </row>
    <row r="20" spans="11:18" ht="24.75" customHeight="1" hidden="1">
      <c r="K20" s="349"/>
      <c r="L20" s="354"/>
      <c r="M20" s="355"/>
      <c r="N20" s="355"/>
      <c r="O20" s="355"/>
      <c r="P20" s="352"/>
      <c r="R20" s="346"/>
    </row>
    <row r="21" spans="11:18" ht="24.75" customHeight="1" hidden="1">
      <c r="K21" s="349"/>
      <c r="L21" s="354"/>
      <c r="M21" s="355"/>
      <c r="N21" s="355"/>
      <c r="O21" s="355"/>
      <c r="P21" s="352"/>
      <c r="R21" s="346"/>
    </row>
    <row r="22" spans="11:18" ht="24.75" customHeight="1" hidden="1">
      <c r="K22" s="349"/>
      <c r="L22" s="354"/>
      <c r="M22" s="355"/>
      <c r="N22" s="355"/>
      <c r="O22" s="355"/>
      <c r="P22" s="352"/>
      <c r="R22" s="346"/>
    </row>
    <row r="23" spans="11:18" ht="24.75" customHeight="1" hidden="1">
      <c r="K23" s="349"/>
      <c r="L23" s="354"/>
      <c r="M23" s="355"/>
      <c r="N23" s="355"/>
      <c r="O23" s="355"/>
      <c r="P23" s="352"/>
      <c r="R23" s="346"/>
    </row>
    <row r="24" spans="11:18" ht="24.75" customHeight="1" hidden="1">
      <c r="K24" s="349"/>
      <c r="L24" s="354"/>
      <c r="M24" s="355"/>
      <c r="N24" s="355"/>
      <c r="O24" s="355"/>
      <c r="P24" s="352"/>
      <c r="R24" s="346"/>
    </row>
    <row r="25" spans="11:18" ht="24.75" customHeight="1" hidden="1">
      <c r="K25" s="349"/>
      <c r="L25" s="354"/>
      <c r="M25" s="355"/>
      <c r="N25" s="355"/>
      <c r="O25" s="355"/>
      <c r="P25" s="352"/>
      <c r="R25" s="346"/>
    </row>
    <row r="26" spans="11:18" ht="36" customHeight="1">
      <c r="K26" s="349"/>
      <c r="L26" s="354" t="s">
        <v>399</v>
      </c>
      <c r="M26" s="361">
        <f>M19/'06'!I11</f>
        <v>0.3894271630120687</v>
      </c>
      <c r="N26" s="355"/>
      <c r="O26" s="355"/>
      <c r="P26" s="352"/>
      <c r="R26" s="346"/>
    </row>
    <row r="27" spans="11:18" ht="24.75" customHeight="1">
      <c r="K27" s="349"/>
      <c r="L27" s="359" t="s">
        <v>400</v>
      </c>
      <c r="M27" s="362">
        <f>'[7]M6 Tong hop Viec CHV '!$H$12/'[7]M6 Tong hop Viec CHV '!$F$12</f>
        <v>0.6726618705035972</v>
      </c>
      <c r="N27" s="355"/>
      <c r="O27" s="355"/>
      <c r="P27" s="352"/>
      <c r="R27" s="346"/>
    </row>
    <row r="28" spans="11:18" ht="24.75" customHeight="1" hidden="1">
      <c r="K28" s="349"/>
      <c r="L28" s="354"/>
      <c r="M28" s="355"/>
      <c r="N28" s="355"/>
      <c r="O28" s="355"/>
      <c r="P28" s="352"/>
      <c r="R28" s="346"/>
    </row>
    <row r="29" spans="11:18" ht="24.75" customHeight="1" hidden="1">
      <c r="K29" s="349"/>
      <c r="L29" s="354"/>
      <c r="M29" s="355"/>
      <c r="N29" s="355"/>
      <c r="O29" s="355"/>
      <c r="P29" s="352"/>
      <c r="R29" s="346"/>
    </row>
    <row r="30" spans="11:18" ht="24.75" customHeight="1">
      <c r="K30" s="349"/>
      <c r="L30" s="367" t="s">
        <v>401</v>
      </c>
      <c r="M30" s="361">
        <f>M26-M27</f>
        <v>-0.28323470749152846</v>
      </c>
      <c r="N30" s="355"/>
      <c r="O30" s="355"/>
      <c r="P30" s="352"/>
      <c r="R30" s="346"/>
    </row>
    <row r="31" spans="11:18" ht="24.75" customHeight="1">
      <c r="K31" s="349"/>
      <c r="L31" s="354" t="s">
        <v>402</v>
      </c>
      <c r="M31" s="355">
        <f>'06'!R11</f>
        <v>9288</v>
      </c>
      <c r="N31" s="355"/>
      <c r="O31" s="355"/>
      <c r="P31" s="352"/>
      <c r="R31" s="346"/>
    </row>
    <row r="32" spans="11:18" ht="24.75" customHeight="1">
      <c r="K32" s="349"/>
      <c r="L32" s="359" t="s">
        <v>403</v>
      </c>
      <c r="M32" s="360">
        <f>'[7]M6 Tong hop Viec CHV '!$R$12</f>
        <v>719</v>
      </c>
      <c r="N32" s="355"/>
      <c r="O32" s="355"/>
      <c r="P32" s="352"/>
      <c r="R32" s="346"/>
    </row>
    <row r="33" spans="11:18" ht="24.75" customHeight="1">
      <c r="K33" s="349"/>
      <c r="L33" s="367" t="s">
        <v>404</v>
      </c>
      <c r="M33" s="369">
        <f>M31-M32</f>
        <v>8569</v>
      </c>
      <c r="N33" s="369" t="s">
        <v>378</v>
      </c>
      <c r="O33" s="368">
        <f>(M31-M32)/M32</f>
        <v>11.917941585535466</v>
      </c>
      <c r="P33" s="352"/>
      <c r="R33" s="346"/>
    </row>
    <row r="34" spans="11:18" ht="24.75" customHeight="1">
      <c r="K34" s="349"/>
      <c r="L34" s="371"/>
      <c r="M34" s="372"/>
      <c r="N34" s="372"/>
      <c r="O34" s="373"/>
      <c r="P34" s="352"/>
      <c r="R34" s="346"/>
    </row>
    <row r="35" spans="11:18" ht="24.75" customHeight="1">
      <c r="K35" s="349"/>
      <c r="L35" s="374"/>
      <c r="M35" s="375"/>
      <c r="N35" s="375"/>
      <c r="O35" s="376"/>
      <c r="P35" s="352"/>
      <c r="R35" s="346"/>
    </row>
    <row r="36" spans="11:18" ht="24.75" customHeight="1" hidden="1">
      <c r="K36" s="349"/>
      <c r="L36" s="29"/>
      <c r="M36" s="30"/>
      <c r="N36" s="30"/>
      <c r="O36" s="30"/>
      <c r="P36" s="352"/>
      <c r="R36" s="346"/>
    </row>
    <row r="37" spans="11:18" ht="24.75" customHeight="1" hidden="1">
      <c r="K37" s="349"/>
      <c r="L37" s="29"/>
      <c r="M37" s="30"/>
      <c r="N37" s="30"/>
      <c r="O37" s="30"/>
      <c r="P37" s="352"/>
      <c r="R37" s="346"/>
    </row>
    <row r="38" spans="11:18" ht="24.75" customHeight="1" hidden="1">
      <c r="K38" s="349"/>
      <c r="L38" s="29"/>
      <c r="M38" s="30"/>
      <c r="N38" s="30"/>
      <c r="O38" s="30"/>
      <c r="P38" s="352"/>
      <c r="R38" s="346"/>
    </row>
    <row r="39" spans="11:18" ht="24.75" customHeight="1">
      <c r="K39" s="349"/>
      <c r="L39" s="370" t="s">
        <v>380</v>
      </c>
      <c r="M39" s="30"/>
      <c r="N39" s="30"/>
      <c r="O39" s="30"/>
      <c r="P39" s="352"/>
      <c r="R39" s="346"/>
    </row>
    <row r="40" spans="11:18" ht="24.75" customHeight="1" hidden="1">
      <c r="K40" s="349"/>
      <c r="L40" s="29"/>
      <c r="M40" s="29"/>
      <c r="N40" s="29"/>
      <c r="O40" s="29"/>
      <c r="P40" s="346"/>
      <c r="R40" s="346"/>
    </row>
    <row r="41" spans="11:18" ht="24.75" customHeight="1" hidden="1">
      <c r="K41" s="349"/>
      <c r="L41" s="29"/>
      <c r="M41" s="29"/>
      <c r="N41" s="29"/>
      <c r="O41" s="29"/>
      <c r="P41" s="346"/>
      <c r="R41" s="346"/>
    </row>
    <row r="42" spans="11:18" ht="24.75" customHeight="1">
      <c r="K42" s="349"/>
      <c r="L42" s="363" t="s">
        <v>405</v>
      </c>
      <c r="M42" s="355">
        <f>'07'!C11</f>
        <v>5053974215</v>
      </c>
      <c r="N42" s="355"/>
      <c r="O42" s="355"/>
      <c r="P42" s="346"/>
      <c r="R42" s="346"/>
    </row>
    <row r="43" spans="11:18" ht="24.75" customHeight="1">
      <c r="K43" s="349"/>
      <c r="L43" s="363" t="s">
        <v>98</v>
      </c>
      <c r="M43" s="355">
        <f>'07'!D11</f>
        <v>3209226708</v>
      </c>
      <c r="N43" s="355"/>
      <c r="O43" s="355"/>
      <c r="P43" s="346"/>
      <c r="R43" s="346"/>
    </row>
    <row r="44" spans="11:18" ht="24.75" customHeight="1">
      <c r="K44" s="349"/>
      <c r="L44" s="363" t="s">
        <v>374</v>
      </c>
      <c r="M44" s="355">
        <f>'07'!E11</f>
        <v>1844747507</v>
      </c>
      <c r="N44" s="355"/>
      <c r="O44" s="355"/>
      <c r="P44" s="346"/>
      <c r="R44" s="346"/>
    </row>
    <row r="45" spans="11:18" ht="24.75" customHeight="1" hidden="1">
      <c r="K45" s="349"/>
      <c r="L45" s="29"/>
      <c r="M45" s="355"/>
      <c r="N45" s="355"/>
      <c r="O45" s="355"/>
      <c r="P45" s="346"/>
      <c r="R45" s="346"/>
    </row>
    <row r="46" spans="11:18" ht="24.75" customHeight="1" hidden="1">
      <c r="K46" s="349"/>
      <c r="L46" s="29"/>
      <c r="M46" s="355"/>
      <c r="N46" s="355"/>
      <c r="O46" s="355"/>
      <c r="P46" s="346"/>
      <c r="R46" s="346"/>
    </row>
    <row r="47" spans="11:18" ht="24.75" customHeight="1">
      <c r="K47" s="349"/>
      <c r="L47" s="363" t="s">
        <v>406</v>
      </c>
      <c r="M47" s="355">
        <f>'07'!F11</f>
        <v>23718812</v>
      </c>
      <c r="N47" s="355"/>
      <c r="O47" s="355"/>
      <c r="P47" s="346"/>
      <c r="R47" s="346"/>
    </row>
    <row r="48" spans="11:18" ht="24.75" customHeight="1" hidden="1">
      <c r="K48" s="349"/>
      <c r="L48" s="29"/>
      <c r="M48" s="355"/>
      <c r="N48" s="355"/>
      <c r="O48" s="355"/>
      <c r="P48" s="346"/>
      <c r="R48" s="346"/>
    </row>
    <row r="49" spans="11:18" ht="24.75" customHeight="1" hidden="1">
      <c r="K49" s="349"/>
      <c r="L49" s="29"/>
      <c r="M49" s="355"/>
      <c r="N49" s="355"/>
      <c r="O49" s="355"/>
      <c r="P49" s="346"/>
      <c r="R49" s="346"/>
    </row>
    <row r="50" spans="11:18" ht="24.75" customHeight="1">
      <c r="K50" s="349"/>
      <c r="L50" s="363" t="s">
        <v>407</v>
      </c>
      <c r="M50" s="355">
        <f>'07'!H11</f>
        <v>5030255403</v>
      </c>
      <c r="N50" s="355"/>
      <c r="O50" s="355"/>
      <c r="P50" s="346"/>
      <c r="R50" s="346"/>
    </row>
    <row r="51" spans="11:18" ht="24.75" customHeight="1">
      <c r="K51" s="349"/>
      <c r="L51" s="364" t="s">
        <v>408</v>
      </c>
      <c r="M51" s="360">
        <f>'[7]M7 Thop tien CHV'!$C$12</f>
        <v>54227822.442</v>
      </c>
      <c r="N51" s="355"/>
      <c r="O51" s="355"/>
      <c r="P51" s="346"/>
      <c r="R51" s="346"/>
    </row>
    <row r="52" spans="11:18" ht="24.75" customHeight="1">
      <c r="K52" s="349"/>
      <c r="L52" s="377" t="s">
        <v>381</v>
      </c>
      <c r="M52" s="369">
        <f>M50-M51</f>
        <v>4976027580.558</v>
      </c>
      <c r="N52" s="355"/>
      <c r="O52" s="355"/>
      <c r="P52" s="346"/>
      <c r="R52" s="346"/>
    </row>
    <row r="53" spans="11:18" ht="24.75" customHeight="1">
      <c r="K53" s="349"/>
      <c r="L53" s="377" t="s">
        <v>382</v>
      </c>
      <c r="M53" s="368">
        <f>(M52/M51)</f>
        <v>91.76152307941496</v>
      </c>
      <c r="N53" s="355"/>
      <c r="O53" s="355"/>
      <c r="P53" s="346"/>
      <c r="R53" s="346"/>
    </row>
    <row r="54" spans="11:18" ht="24.75" customHeight="1">
      <c r="K54" s="349"/>
      <c r="L54" s="363" t="s">
        <v>409</v>
      </c>
      <c r="M54" s="355">
        <f>'07'!I11</f>
        <v>3404277584</v>
      </c>
      <c r="N54" s="355" t="s">
        <v>383</v>
      </c>
      <c r="O54" s="361">
        <f>'07'!I11/'07'!H11</f>
        <v>0.6767603851624947</v>
      </c>
      <c r="P54" s="346"/>
      <c r="R54" s="346"/>
    </row>
    <row r="55" spans="11:18" ht="24.75" customHeight="1">
      <c r="K55" s="349"/>
      <c r="L55" s="363" t="s">
        <v>410</v>
      </c>
      <c r="M55" s="355">
        <f>'07'!R11</f>
        <v>1625977819</v>
      </c>
      <c r="N55" s="355" t="s">
        <v>383</v>
      </c>
      <c r="O55" s="361">
        <f>'07'!R11/'07'!H11</f>
        <v>0.3232396148375053</v>
      </c>
      <c r="P55" s="346"/>
      <c r="R55" s="346"/>
    </row>
    <row r="56" spans="11:18" ht="24.75" customHeight="1">
      <c r="K56" s="349"/>
      <c r="L56" s="363" t="s">
        <v>411</v>
      </c>
      <c r="M56" s="355">
        <f>'07'!J11+'07'!K11+'07'!L11</f>
        <v>145806185</v>
      </c>
      <c r="N56" s="355" t="s">
        <v>383</v>
      </c>
      <c r="O56" s="361">
        <f>M56/'07'!H11</f>
        <v>0.02898584133780612</v>
      </c>
      <c r="P56" s="346"/>
      <c r="R56" s="346"/>
    </row>
    <row r="57" spans="11:18" ht="24.75" customHeight="1">
      <c r="K57" s="349"/>
      <c r="L57" s="364" t="s">
        <v>412</v>
      </c>
      <c r="M57" s="360">
        <f>'[7]M7 Thop tien CHV'!$H$12+'[7]M7 Thop tien CHV'!$I$12+'[7]M7 Thop tien CHV'!$K$12</f>
        <v>2217726.5</v>
      </c>
      <c r="N57" s="360" t="s">
        <v>383</v>
      </c>
      <c r="O57" s="361">
        <f>M57/M51</f>
        <v>0.040896469748015335</v>
      </c>
      <c r="P57" s="346"/>
      <c r="R57" s="346"/>
    </row>
    <row r="58" spans="11:18" ht="24.75" customHeight="1" hidden="1">
      <c r="K58" s="349"/>
      <c r="L58" s="29"/>
      <c r="M58" s="355"/>
      <c r="N58" s="355"/>
      <c r="O58" s="361"/>
      <c r="P58" s="346"/>
      <c r="R58" s="346"/>
    </row>
    <row r="59" spans="11:18" ht="24.75" customHeight="1" hidden="1">
      <c r="K59" s="349"/>
      <c r="L59" s="29"/>
      <c r="M59" s="355"/>
      <c r="N59" s="355"/>
      <c r="O59" s="361"/>
      <c r="P59" s="346"/>
      <c r="R59" s="346"/>
    </row>
    <row r="60" spans="11:18" ht="24.75" customHeight="1">
      <c r="K60" s="349"/>
      <c r="L60" s="377" t="s">
        <v>413</v>
      </c>
      <c r="M60" s="368">
        <f>O56-O57</f>
        <v>-0.011910628410209213</v>
      </c>
      <c r="N60" s="369"/>
      <c r="O60" s="361"/>
      <c r="P60" s="346"/>
      <c r="R60" s="346"/>
    </row>
    <row r="61" spans="11:18" ht="24.75" customHeight="1" hidden="1">
      <c r="K61" s="349"/>
      <c r="L61" s="29"/>
      <c r="M61" s="355"/>
      <c r="N61" s="355"/>
      <c r="O61" s="361"/>
      <c r="P61" s="346"/>
      <c r="R61" s="346"/>
    </row>
    <row r="62" spans="11:18" ht="24.75" customHeight="1" hidden="1">
      <c r="K62" s="349"/>
      <c r="L62" s="29"/>
      <c r="M62" s="355"/>
      <c r="N62" s="355"/>
      <c r="O62" s="361"/>
      <c r="P62" s="346"/>
      <c r="R62" s="346"/>
    </row>
    <row r="63" spans="11:18" ht="24.75" customHeight="1">
      <c r="K63" s="349"/>
      <c r="L63" s="363" t="s">
        <v>414</v>
      </c>
      <c r="M63" s="355">
        <f>'07'!J11</f>
        <v>131812327</v>
      </c>
      <c r="N63" s="355" t="s">
        <v>384</v>
      </c>
      <c r="O63" s="361">
        <f>'07'!J11/'07'!I11</f>
        <v>0.03871961781833358</v>
      </c>
      <c r="P63" s="346"/>
      <c r="R63" s="346"/>
    </row>
    <row r="64" spans="11:16" ht="24.75" customHeight="1">
      <c r="K64" s="349"/>
      <c r="L64" s="364" t="s">
        <v>415</v>
      </c>
      <c r="M64" s="360">
        <f>'[7]M7 Thop tien CHV'!$H$12</f>
        <v>2212774.5</v>
      </c>
      <c r="N64" s="360" t="s">
        <v>385</v>
      </c>
      <c r="O64" s="361">
        <f>'[6]M7 Thop tien CHV'!$H$12/'[6]M7 Thop tien CHV'!$F$12</f>
        <v>0.014243501319813655</v>
      </c>
      <c r="P64" s="346"/>
    </row>
    <row r="65" spans="11:16" ht="24.75" customHeight="1" hidden="1">
      <c r="K65" s="349"/>
      <c r="L65" s="29"/>
      <c r="M65" s="355"/>
      <c r="N65" s="355"/>
      <c r="O65" s="355"/>
      <c r="P65" s="346"/>
    </row>
    <row r="66" spans="11:16" ht="24.75" customHeight="1" hidden="1">
      <c r="K66" s="349"/>
      <c r="L66" s="29"/>
      <c r="M66" s="355"/>
      <c r="N66" s="355"/>
      <c r="O66" s="355"/>
      <c r="P66" s="346"/>
    </row>
    <row r="67" spans="11:16" ht="24.75" customHeight="1" hidden="1">
      <c r="K67" s="349"/>
      <c r="L67" s="29"/>
      <c r="M67" s="355"/>
      <c r="N67" s="355"/>
      <c r="O67" s="355"/>
      <c r="P67" s="346"/>
    </row>
    <row r="68" spans="11:16" ht="24.75" customHeight="1">
      <c r="K68" s="349"/>
      <c r="L68" s="377" t="s">
        <v>416</v>
      </c>
      <c r="M68" s="368">
        <f>O63-O64</f>
        <v>0.024476116498519926</v>
      </c>
      <c r="N68" s="355"/>
      <c r="O68" s="355"/>
      <c r="P68" s="346"/>
    </row>
    <row r="69" spans="11:16" ht="24.75" customHeight="1" hidden="1">
      <c r="K69" s="349"/>
      <c r="L69" s="29"/>
      <c r="M69" s="355"/>
      <c r="N69" s="355"/>
      <c r="O69" s="355"/>
      <c r="P69" s="346"/>
    </row>
    <row r="70" spans="11:16" ht="24.75" customHeight="1" hidden="1">
      <c r="K70" s="349"/>
      <c r="L70" s="29"/>
      <c r="M70" s="355"/>
      <c r="N70" s="355"/>
      <c r="O70" s="355"/>
      <c r="P70" s="346"/>
    </row>
    <row r="71" spans="11:16" ht="24.75" customHeight="1" hidden="1">
      <c r="K71" s="349"/>
      <c r="L71" s="29"/>
      <c r="M71" s="355"/>
      <c r="N71" s="355"/>
      <c r="O71" s="355"/>
      <c r="P71" s="346"/>
    </row>
    <row r="72" spans="11:16" ht="24.75" customHeight="1">
      <c r="K72" s="349"/>
      <c r="L72" s="363" t="s">
        <v>417</v>
      </c>
      <c r="M72" s="355">
        <f>'07'!S11</f>
        <v>4884449218</v>
      </c>
      <c r="N72" s="355"/>
      <c r="O72" s="355"/>
      <c r="P72" s="346"/>
    </row>
    <row r="73" spans="11:16" ht="24.75" customHeight="1">
      <c r="K73" s="349"/>
      <c r="L73" s="364" t="s">
        <v>418</v>
      </c>
      <c r="M73" s="360">
        <f>'[7]M7 Thop tien CHV'!$R$12</f>
        <v>48126810.362</v>
      </c>
      <c r="N73" s="355"/>
      <c r="O73" s="355"/>
      <c r="P73" s="346"/>
    </row>
    <row r="74" spans="11:16" ht="24.75" customHeight="1" hidden="1">
      <c r="K74" s="349"/>
      <c r="L74" s="29"/>
      <c r="M74" s="29"/>
      <c r="N74" s="29"/>
      <c r="O74" s="29"/>
      <c r="P74" s="346"/>
    </row>
    <row r="75" spans="11:16" ht="24.75" customHeight="1" hidden="1">
      <c r="K75" s="349"/>
      <c r="L75" s="29"/>
      <c r="M75" s="29"/>
      <c r="N75" s="29"/>
      <c r="O75" s="29"/>
      <c r="P75" s="346"/>
    </row>
    <row r="76" spans="11:16" ht="24.75" customHeight="1">
      <c r="K76" s="349"/>
      <c r="L76" s="377" t="s">
        <v>386</v>
      </c>
      <c r="M76" s="369">
        <f>M72-M73</f>
        <v>4836322407.638</v>
      </c>
      <c r="N76" s="29"/>
      <c r="O76" s="29"/>
      <c r="P76" s="346"/>
    </row>
    <row r="77" spans="11:16" ht="24.75" customHeight="1" hidden="1">
      <c r="K77" s="349"/>
      <c r="L77" s="377"/>
      <c r="M77" s="377"/>
      <c r="N77" s="29"/>
      <c r="O77" s="29"/>
      <c r="P77" s="346"/>
    </row>
    <row r="78" spans="11:16" ht="24.75" customHeight="1" hidden="1">
      <c r="K78" s="349"/>
      <c r="L78" s="377"/>
      <c r="M78" s="377"/>
      <c r="N78" s="29"/>
      <c r="O78" s="29"/>
      <c r="P78" s="346"/>
    </row>
    <row r="79" spans="11:16" ht="24.75" customHeight="1">
      <c r="K79" s="349"/>
      <c r="L79" s="377" t="s">
        <v>387</v>
      </c>
      <c r="M79" s="368">
        <f>M76/M73</f>
        <v>100.491230797557</v>
      </c>
      <c r="N79" s="29"/>
      <c r="O79" s="29"/>
      <c r="P79" s="346"/>
    </row>
    <row r="80" spans="11:16" ht="24.75" customHeight="1">
      <c r="K80" s="349"/>
      <c r="L80" s="29"/>
      <c r="M80" s="29"/>
      <c r="N80" s="29"/>
      <c r="O80" s="29"/>
      <c r="P80" s="346"/>
    </row>
    <row r="81" spans="11:16" ht="24.75" customHeight="1">
      <c r="K81" s="349"/>
      <c r="L81" s="29"/>
      <c r="M81" s="29"/>
      <c r="N81" s="29"/>
      <c r="O81" s="29"/>
      <c r="P81" s="346"/>
    </row>
    <row r="82" spans="11:16" ht="24.75" customHeight="1" hidden="1">
      <c r="K82" s="349"/>
      <c r="L82" s="29"/>
      <c r="M82" s="29"/>
      <c r="N82" s="29"/>
      <c r="O82" s="29"/>
      <c r="P82" s="346"/>
    </row>
    <row r="83" spans="11:16" ht="24.75" customHeight="1" hidden="1">
      <c r="K83" s="349"/>
      <c r="L83" s="29"/>
      <c r="M83" s="29"/>
      <c r="N83" s="29"/>
      <c r="O83" s="29"/>
      <c r="P83" s="346"/>
    </row>
    <row r="84" spans="11:16" ht="24.75" customHeight="1">
      <c r="K84" s="349"/>
      <c r="L84" s="29"/>
      <c r="M84" s="29"/>
      <c r="N84" s="29"/>
      <c r="O84" s="29"/>
      <c r="P84" s="346"/>
    </row>
    <row r="85" spans="11:16" ht="24.75" customHeight="1" hidden="1">
      <c r="K85" s="349"/>
      <c r="L85" s="29"/>
      <c r="M85" s="29"/>
      <c r="N85" s="29"/>
      <c r="O85" s="29"/>
      <c r="P85" s="346"/>
    </row>
    <row r="86" spans="11:16" ht="24.75" customHeight="1" hidden="1">
      <c r="K86" s="349"/>
      <c r="L86" s="29"/>
      <c r="M86" s="29"/>
      <c r="N86" s="29"/>
      <c r="O86" s="29"/>
      <c r="P86" s="346"/>
    </row>
    <row r="87" spans="11:16" ht="24.75" customHeight="1">
      <c r="K87" s="349"/>
      <c r="L87" s="29"/>
      <c r="M87" s="29"/>
      <c r="N87" s="29"/>
      <c r="O87" s="29"/>
      <c r="P87" s="346"/>
    </row>
    <row r="88" spans="11:16" ht="24.75" customHeight="1">
      <c r="K88" s="349"/>
      <c r="L88" s="29"/>
      <c r="M88" s="29"/>
      <c r="N88" s="29"/>
      <c r="O88" s="29"/>
      <c r="P88" s="346"/>
    </row>
    <row r="89" spans="11:16" ht="24.75" customHeight="1" hidden="1">
      <c r="K89" s="349"/>
      <c r="L89" s="29"/>
      <c r="M89" s="29"/>
      <c r="N89" s="29"/>
      <c r="O89" s="29"/>
      <c r="P89" s="346"/>
    </row>
    <row r="90" spans="11:16" ht="24.75" customHeight="1" hidden="1">
      <c r="K90" s="349"/>
      <c r="L90" s="29"/>
      <c r="M90" s="29"/>
      <c r="N90" s="29"/>
      <c r="O90" s="29"/>
      <c r="P90" s="346"/>
    </row>
    <row r="91" spans="11:16" ht="24.75" customHeight="1" hidden="1">
      <c r="K91" s="349"/>
      <c r="L91" s="29"/>
      <c r="M91" s="29"/>
      <c r="N91" s="29"/>
      <c r="O91" s="29"/>
      <c r="P91" s="346"/>
    </row>
    <row r="92" spans="11:16" ht="24.75" customHeight="1">
      <c r="K92" s="349"/>
      <c r="L92" s="29"/>
      <c r="M92" s="29"/>
      <c r="N92" s="29"/>
      <c r="O92" s="29"/>
      <c r="P92" s="346"/>
    </row>
    <row r="93" spans="11:16" ht="24.75" customHeight="1" hidden="1">
      <c r="K93" s="349"/>
      <c r="L93" s="29"/>
      <c r="M93" s="29"/>
      <c r="N93" s="29"/>
      <c r="O93" s="29"/>
      <c r="P93" s="346"/>
    </row>
    <row r="94" spans="11:16" ht="24.75" customHeight="1" hidden="1">
      <c r="K94" s="349"/>
      <c r="L94" s="29"/>
      <c r="M94" s="29"/>
      <c r="N94" s="29"/>
      <c r="O94" s="29"/>
      <c r="P94" s="346"/>
    </row>
    <row r="95" spans="11:16" ht="24.75" customHeight="1">
      <c r="K95" s="349"/>
      <c r="L95" s="29"/>
      <c r="M95" s="29"/>
      <c r="N95" s="29"/>
      <c r="O95" s="29"/>
      <c r="P95" s="346"/>
    </row>
    <row r="96" spans="11:16" ht="24.75" customHeight="1">
      <c r="K96" s="349"/>
      <c r="L96" s="29"/>
      <c r="M96" s="29"/>
      <c r="N96" s="29"/>
      <c r="O96" s="29"/>
      <c r="P96" s="346"/>
    </row>
    <row r="97" spans="11:16" ht="24.75" customHeight="1" hidden="1">
      <c r="K97" s="349"/>
      <c r="L97" s="29"/>
      <c r="M97" s="29"/>
      <c r="N97" s="29"/>
      <c r="O97" s="29"/>
      <c r="P97" s="346"/>
    </row>
    <row r="98" spans="11:16" ht="24.75" customHeight="1" hidden="1">
      <c r="K98" s="349"/>
      <c r="L98" s="29"/>
      <c r="M98" s="29"/>
      <c r="N98" s="29"/>
      <c r="O98" s="29"/>
      <c r="P98" s="346"/>
    </row>
    <row r="99" spans="11:16" ht="24.75" customHeight="1" hidden="1">
      <c r="K99" s="349"/>
      <c r="L99" s="29"/>
      <c r="M99" s="29"/>
      <c r="N99" s="29"/>
      <c r="O99" s="29"/>
      <c r="P99" s="346"/>
    </row>
    <row r="100" spans="11:16" ht="24.75" customHeight="1">
      <c r="K100" s="349"/>
      <c r="L100" s="29"/>
      <c r="M100" s="29"/>
      <c r="N100" s="29"/>
      <c r="O100" s="29"/>
      <c r="P100" s="346"/>
    </row>
    <row r="101" spans="11:16" ht="24.75" customHeight="1" hidden="1">
      <c r="K101" s="349"/>
      <c r="L101" s="29"/>
      <c r="M101" s="29"/>
      <c r="N101" s="29"/>
      <c r="O101" s="29"/>
      <c r="P101" s="346"/>
    </row>
    <row r="102" spans="11:16" ht="24.75" customHeight="1" hidden="1">
      <c r="K102" s="349"/>
      <c r="L102" s="29"/>
      <c r="M102" s="29"/>
      <c r="N102" s="29"/>
      <c r="O102" s="29"/>
      <c r="P102" s="346"/>
    </row>
    <row r="103" spans="11:16" ht="24.75" customHeight="1">
      <c r="K103" s="349"/>
      <c r="L103" s="29"/>
      <c r="M103" s="29"/>
      <c r="N103" s="29"/>
      <c r="O103" s="29"/>
      <c r="P103" s="346"/>
    </row>
    <row r="104" spans="11:16" ht="24.75" customHeight="1">
      <c r="K104" s="349"/>
      <c r="L104" s="29"/>
      <c r="M104" s="29"/>
      <c r="N104" s="29"/>
      <c r="O104" s="29"/>
      <c r="P104" s="346"/>
    </row>
    <row r="105" spans="11:16" ht="24.75" customHeight="1">
      <c r="K105" s="349"/>
      <c r="L105" s="29"/>
      <c r="M105" s="29"/>
      <c r="N105" s="29"/>
      <c r="O105" s="29"/>
      <c r="P105" s="346"/>
    </row>
    <row r="106" spans="11:16" ht="24.75" customHeight="1">
      <c r="K106" s="349"/>
      <c r="L106" s="29"/>
      <c r="M106" s="29"/>
      <c r="N106" s="29"/>
      <c r="O106" s="29"/>
      <c r="P106" s="346"/>
    </row>
    <row r="107" spans="11:16" ht="24.75" customHeight="1" hidden="1">
      <c r="K107" s="349"/>
      <c r="L107" s="29"/>
      <c r="M107" s="29"/>
      <c r="N107" s="29"/>
      <c r="O107" s="29"/>
      <c r="P107" s="346"/>
    </row>
    <row r="108" spans="11:16" ht="24.75" customHeight="1" hidden="1">
      <c r="K108" s="349"/>
      <c r="L108" s="29"/>
      <c r="M108" s="29"/>
      <c r="N108" s="29"/>
      <c r="O108" s="29"/>
      <c r="P108" s="346"/>
    </row>
    <row r="109" spans="11:16" ht="24.75" customHeight="1">
      <c r="K109" s="349"/>
      <c r="L109" s="29"/>
      <c r="M109" s="29"/>
      <c r="N109" s="29"/>
      <c r="O109" s="29"/>
      <c r="P109" s="346"/>
    </row>
    <row r="110" spans="11:16" ht="24.75" customHeight="1" hidden="1">
      <c r="K110" s="349"/>
      <c r="L110" s="29"/>
      <c r="M110" s="29"/>
      <c r="N110" s="29"/>
      <c r="O110" s="29"/>
      <c r="P110" s="346"/>
    </row>
    <row r="111" spans="11:16" ht="24.75" customHeight="1" hidden="1">
      <c r="K111" s="349"/>
      <c r="L111" s="29"/>
      <c r="M111" s="29"/>
      <c r="N111" s="29"/>
      <c r="O111" s="29"/>
      <c r="P111" s="346"/>
    </row>
    <row r="112" spans="11:16" ht="24.75" customHeight="1">
      <c r="K112" s="349"/>
      <c r="L112" s="29"/>
      <c r="M112" s="29"/>
      <c r="N112" s="29"/>
      <c r="O112" s="29"/>
      <c r="P112" s="346"/>
    </row>
    <row r="113" spans="12:15" ht="24.75" customHeight="1">
      <c r="L113" s="353"/>
      <c r="M113" s="353"/>
      <c r="N113" s="353"/>
      <c r="O113" s="353"/>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43" customFormat="1" ht="29.25" customHeight="1"/>
    <row r="129" s="344"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zoomScalePageLayoutView="0" workbookViewId="0" topLeftCell="A1">
      <selection activeCell="G6" sqref="G6"/>
    </sheetView>
  </sheetViews>
  <sheetFormatPr defaultColWidth="9.00390625" defaultRowHeight="15.75"/>
  <cols>
    <col min="1" max="1" width="23.50390625" style="0" customWidth="1"/>
    <col min="2" max="2" width="66.125" style="0" customWidth="1"/>
  </cols>
  <sheetData>
    <row r="2" spans="1:2" ht="62.25" customHeight="1">
      <c r="A2" s="894" t="s">
        <v>432</v>
      </c>
      <c r="B2" s="894"/>
    </row>
    <row r="3" spans="1:2" ht="22.5" customHeight="1">
      <c r="A3" s="380" t="s">
        <v>420</v>
      </c>
      <c r="B3" s="384" t="s">
        <v>579</v>
      </c>
    </row>
    <row r="4" spans="1:2" ht="22.5" customHeight="1">
      <c r="A4" s="380" t="s">
        <v>419</v>
      </c>
      <c r="B4" s="381" t="s">
        <v>536</v>
      </c>
    </row>
    <row r="5" spans="1:2" ht="22.5" customHeight="1">
      <c r="A5" s="380" t="s">
        <v>421</v>
      </c>
      <c r="B5" s="383" t="s">
        <v>535</v>
      </c>
    </row>
    <row r="6" spans="1:2" ht="22.5" customHeight="1">
      <c r="A6" s="380" t="s">
        <v>422</v>
      </c>
      <c r="B6" s="383" t="s">
        <v>434</v>
      </c>
    </row>
    <row r="7" spans="1:2" ht="34.5" customHeight="1">
      <c r="A7" s="380" t="s">
        <v>423</v>
      </c>
      <c r="B7" s="388" t="s">
        <v>537</v>
      </c>
    </row>
    <row r="8" spans="1:2" ht="15.75">
      <c r="A8" s="382" t="s">
        <v>424</v>
      </c>
      <c r="B8" s="389" t="s">
        <v>582</v>
      </c>
    </row>
    <row r="10" spans="1:2" ht="62.25" customHeight="1">
      <c r="A10" s="895" t="s">
        <v>433</v>
      </c>
      <c r="B10" s="895"/>
    </row>
    <row r="11" spans="1:2" ht="15.75">
      <c r="A11" s="896" t="s">
        <v>431</v>
      </c>
      <c r="B11" s="896"/>
    </row>
  </sheetData>
  <sheetProtection/>
  <mergeCells count="3">
    <mergeCell ref="A2:B2"/>
    <mergeCell ref="A10:B10"/>
    <mergeCell ref="A11: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9"/>
  </sheetPr>
  <dimension ref="A1:U131"/>
  <sheetViews>
    <sheetView showZeros="0" view="pageBreakPreview" zoomScaleSheetLayoutView="100" zoomScalePageLayoutView="0" workbookViewId="0" topLeftCell="A76">
      <selection activeCell="B123" sqref="A1:IV16384"/>
    </sheetView>
  </sheetViews>
  <sheetFormatPr defaultColWidth="9.00390625" defaultRowHeight="15.75"/>
  <cols>
    <col min="1" max="1" width="5.125" style="396" customWidth="1"/>
    <col min="2" max="2" width="20.375" style="385" customWidth="1"/>
    <col min="3" max="3" width="9.625" style="391" customWidth="1"/>
    <col min="4" max="5" width="7.375" style="23" customWidth="1"/>
    <col min="6" max="6" width="6.50390625" style="23" customWidth="1"/>
    <col min="7" max="7" width="6.75390625" style="23" customWidth="1"/>
    <col min="8" max="8" width="8.875" style="391" customWidth="1"/>
    <col min="9" max="9" width="7.875" style="391" customWidth="1"/>
    <col min="10" max="11" width="6.25390625" style="23" customWidth="1"/>
    <col min="12" max="12" width="5.75390625" style="23" customWidth="1"/>
    <col min="13" max="14" width="5.875" style="23" customWidth="1"/>
    <col min="15" max="15" width="6.125" style="23" customWidth="1"/>
    <col min="16" max="16" width="5.25390625" style="23" customWidth="1"/>
    <col min="17" max="17" width="7.50390625" style="391" customWidth="1"/>
    <col min="18" max="18" width="8.75390625" style="391" customWidth="1"/>
    <col min="19" max="19" width="8.625" style="23" customWidth="1"/>
    <col min="20" max="20" width="9.00390625" style="390" customWidth="1"/>
    <col min="21" max="21" width="9.00390625" style="393" customWidth="1"/>
    <col min="22" max="16384" width="9.00390625" style="23" customWidth="1"/>
  </cols>
  <sheetData>
    <row r="1" spans="1:20" ht="20.25" customHeight="1">
      <c r="A1" s="543" t="s">
        <v>27</v>
      </c>
      <c r="B1" s="543"/>
      <c r="C1" s="544"/>
      <c r="D1" s="545"/>
      <c r="E1" s="909" t="s">
        <v>64</v>
      </c>
      <c r="F1" s="909"/>
      <c r="G1" s="909"/>
      <c r="H1" s="909"/>
      <c r="I1" s="909"/>
      <c r="J1" s="909"/>
      <c r="K1" s="909"/>
      <c r="L1" s="909"/>
      <c r="M1" s="909"/>
      <c r="N1" s="909"/>
      <c r="O1" s="909"/>
      <c r="P1" s="546" t="s">
        <v>426</v>
      </c>
      <c r="Q1" s="546"/>
      <c r="R1" s="546"/>
      <c r="S1" s="546"/>
      <c r="T1" s="547"/>
    </row>
    <row r="2" spans="1:20" ht="17.25" customHeight="1">
      <c r="A2" s="915" t="s">
        <v>238</v>
      </c>
      <c r="B2" s="915"/>
      <c r="C2" s="915"/>
      <c r="D2" s="915"/>
      <c r="E2" s="910" t="s">
        <v>34</v>
      </c>
      <c r="F2" s="910"/>
      <c r="G2" s="910"/>
      <c r="H2" s="910"/>
      <c r="I2" s="910"/>
      <c r="J2" s="910"/>
      <c r="K2" s="910"/>
      <c r="L2" s="910"/>
      <c r="M2" s="910"/>
      <c r="N2" s="910"/>
      <c r="O2" s="910"/>
      <c r="P2" s="916" t="str">
        <f>'[8]Thong tin'!B4</f>
        <v>CTHADS Hải Phòng</v>
      </c>
      <c r="Q2" s="916"/>
      <c r="R2" s="916"/>
      <c r="S2" s="916"/>
      <c r="T2" s="547"/>
    </row>
    <row r="3" spans="1:20" ht="19.5" customHeight="1">
      <c r="A3" s="915" t="s">
        <v>239</v>
      </c>
      <c r="B3" s="915"/>
      <c r="C3" s="915"/>
      <c r="D3" s="915"/>
      <c r="E3" s="911" t="s">
        <v>580</v>
      </c>
      <c r="F3" s="911"/>
      <c r="G3" s="911"/>
      <c r="H3" s="911"/>
      <c r="I3" s="911"/>
      <c r="J3" s="911"/>
      <c r="K3" s="911"/>
      <c r="L3" s="911"/>
      <c r="M3" s="911"/>
      <c r="N3" s="911"/>
      <c r="O3" s="911"/>
      <c r="P3" s="548" t="s">
        <v>533</v>
      </c>
      <c r="Q3" s="549"/>
      <c r="R3" s="548"/>
      <c r="S3" s="548"/>
      <c r="T3" s="550"/>
    </row>
    <row r="4" spans="1:20" ht="14.25" customHeight="1">
      <c r="A4" s="405" t="s">
        <v>117</v>
      </c>
      <c r="B4" s="551"/>
      <c r="C4" s="549"/>
      <c r="D4" s="549"/>
      <c r="E4" s="549"/>
      <c r="F4" s="549"/>
      <c r="G4" s="549"/>
      <c r="H4" s="549"/>
      <c r="I4" s="549"/>
      <c r="J4" s="549"/>
      <c r="K4" s="549"/>
      <c r="L4" s="549"/>
      <c r="M4" s="549"/>
      <c r="N4" s="552"/>
      <c r="O4" s="552"/>
      <c r="P4" s="905" t="s">
        <v>301</v>
      </c>
      <c r="Q4" s="905"/>
      <c r="R4" s="905"/>
      <c r="S4" s="905"/>
      <c r="T4" s="550"/>
    </row>
    <row r="5" spans="1:20" ht="21.75" customHeight="1">
      <c r="A5" s="551"/>
      <c r="B5" s="551"/>
      <c r="C5" s="553"/>
      <c r="D5" s="553"/>
      <c r="E5" s="553"/>
      <c r="F5" s="553"/>
      <c r="G5" s="553"/>
      <c r="H5" s="553"/>
      <c r="I5" s="553"/>
      <c r="J5" s="553"/>
      <c r="K5" s="553"/>
      <c r="L5" s="553"/>
      <c r="M5" s="553"/>
      <c r="N5" s="553"/>
      <c r="O5" s="553"/>
      <c r="P5" s="553"/>
      <c r="Q5" s="441" t="s">
        <v>237</v>
      </c>
      <c r="R5" s="442"/>
      <c r="S5" s="442"/>
      <c r="T5" s="550"/>
    </row>
    <row r="6" spans="1:20" ht="19.5" customHeight="1">
      <c r="A6" s="917" t="s">
        <v>55</v>
      </c>
      <c r="B6" s="918"/>
      <c r="C6" s="902" t="s">
        <v>118</v>
      </c>
      <c r="D6" s="902"/>
      <c r="E6" s="902"/>
      <c r="F6" s="906" t="s">
        <v>99</v>
      </c>
      <c r="G6" s="906" t="s">
        <v>119</v>
      </c>
      <c r="H6" s="912" t="s">
        <v>100</v>
      </c>
      <c r="I6" s="912"/>
      <c r="J6" s="912"/>
      <c r="K6" s="912"/>
      <c r="L6" s="912"/>
      <c r="M6" s="912"/>
      <c r="N6" s="912"/>
      <c r="O6" s="912"/>
      <c r="P6" s="912"/>
      <c r="Q6" s="912"/>
      <c r="R6" s="902" t="s">
        <v>243</v>
      </c>
      <c r="S6" s="902" t="s">
        <v>428</v>
      </c>
      <c r="T6" s="550"/>
    </row>
    <row r="7" spans="1:21" s="378" customFormat="1" ht="27" customHeight="1">
      <c r="A7" s="919"/>
      <c r="B7" s="920"/>
      <c r="C7" s="902" t="s">
        <v>42</v>
      </c>
      <c r="D7" s="902" t="s">
        <v>7</v>
      </c>
      <c r="E7" s="902"/>
      <c r="F7" s="906"/>
      <c r="G7" s="906"/>
      <c r="H7" s="906" t="s">
        <v>100</v>
      </c>
      <c r="I7" s="902" t="s">
        <v>101</v>
      </c>
      <c r="J7" s="902"/>
      <c r="K7" s="902"/>
      <c r="L7" s="902"/>
      <c r="M7" s="902"/>
      <c r="N7" s="902"/>
      <c r="O7" s="902"/>
      <c r="P7" s="902"/>
      <c r="Q7" s="906" t="s">
        <v>110</v>
      </c>
      <c r="R7" s="902"/>
      <c r="S7" s="902"/>
      <c r="T7" s="556"/>
      <c r="U7" s="394"/>
    </row>
    <row r="8" spans="1:20" ht="21.75" customHeight="1">
      <c r="A8" s="919"/>
      <c r="B8" s="920"/>
      <c r="C8" s="902"/>
      <c r="D8" s="902" t="s">
        <v>121</v>
      </c>
      <c r="E8" s="902" t="s">
        <v>122</v>
      </c>
      <c r="F8" s="906"/>
      <c r="G8" s="906"/>
      <c r="H8" s="906"/>
      <c r="I8" s="906" t="s">
        <v>427</v>
      </c>
      <c r="J8" s="902" t="s">
        <v>7</v>
      </c>
      <c r="K8" s="902"/>
      <c r="L8" s="902"/>
      <c r="M8" s="902"/>
      <c r="N8" s="902"/>
      <c r="O8" s="902"/>
      <c r="P8" s="902"/>
      <c r="Q8" s="906"/>
      <c r="R8" s="902"/>
      <c r="S8" s="902"/>
      <c r="T8" s="550"/>
    </row>
    <row r="9" spans="1:20" ht="84" customHeight="1">
      <c r="A9" s="921"/>
      <c r="B9" s="922"/>
      <c r="C9" s="902"/>
      <c r="D9" s="902"/>
      <c r="E9" s="902"/>
      <c r="F9" s="906"/>
      <c r="G9" s="906"/>
      <c r="H9" s="906"/>
      <c r="I9" s="906"/>
      <c r="J9" s="554" t="s">
        <v>123</v>
      </c>
      <c r="K9" s="554" t="s">
        <v>124</v>
      </c>
      <c r="L9" s="555" t="s">
        <v>103</v>
      </c>
      <c r="M9" s="555" t="s">
        <v>125</v>
      </c>
      <c r="N9" s="555" t="s">
        <v>106</v>
      </c>
      <c r="O9" s="555" t="s">
        <v>244</v>
      </c>
      <c r="P9" s="555" t="s">
        <v>109</v>
      </c>
      <c r="Q9" s="906"/>
      <c r="R9" s="902"/>
      <c r="S9" s="902"/>
      <c r="T9" s="550"/>
    </row>
    <row r="10" spans="1:20" ht="22.5" customHeight="1">
      <c r="A10" s="903" t="s">
        <v>6</v>
      </c>
      <c r="B10" s="904"/>
      <c r="C10" s="443">
        <v>1</v>
      </c>
      <c r="D10" s="443">
        <v>2</v>
      </c>
      <c r="E10" s="443">
        <v>3</v>
      </c>
      <c r="F10" s="443">
        <v>4</v>
      </c>
      <c r="G10" s="443">
        <v>5</v>
      </c>
      <c r="H10" s="443">
        <v>6</v>
      </c>
      <c r="I10" s="443">
        <v>7</v>
      </c>
      <c r="J10" s="443">
        <v>8</v>
      </c>
      <c r="K10" s="443">
        <v>9</v>
      </c>
      <c r="L10" s="443">
        <v>10</v>
      </c>
      <c r="M10" s="443">
        <v>11</v>
      </c>
      <c r="N10" s="443">
        <v>12</v>
      </c>
      <c r="O10" s="443">
        <v>13</v>
      </c>
      <c r="P10" s="443">
        <v>14</v>
      </c>
      <c r="Q10" s="443">
        <v>15</v>
      </c>
      <c r="R10" s="443">
        <v>16</v>
      </c>
      <c r="S10" s="444">
        <v>17</v>
      </c>
      <c r="T10" s="550"/>
    </row>
    <row r="11" spans="1:21" s="387" customFormat="1" ht="25.5" customHeight="1">
      <c r="A11" s="907" t="s">
        <v>30</v>
      </c>
      <c r="B11" s="908"/>
      <c r="C11" s="557">
        <f>C12+C32</f>
        <v>11686</v>
      </c>
      <c r="D11" s="557">
        <f aca="true" t="shared" si="0" ref="D11:R11">D12+D32</f>
        <v>8097</v>
      </c>
      <c r="E11" s="557">
        <f t="shared" si="0"/>
        <v>3589</v>
      </c>
      <c r="F11" s="557">
        <f t="shared" si="0"/>
        <v>47</v>
      </c>
      <c r="G11" s="557">
        <f t="shared" si="0"/>
        <v>2</v>
      </c>
      <c r="H11" s="557">
        <f t="shared" si="0"/>
        <v>11639</v>
      </c>
      <c r="I11" s="557">
        <f t="shared" si="0"/>
        <v>5883</v>
      </c>
      <c r="J11" s="557">
        <f t="shared" si="0"/>
        <v>2291</v>
      </c>
      <c r="K11" s="557">
        <f t="shared" si="0"/>
        <v>60</v>
      </c>
      <c r="L11" s="557">
        <f t="shared" si="0"/>
        <v>3512</v>
      </c>
      <c r="M11" s="557">
        <f t="shared" si="0"/>
        <v>5</v>
      </c>
      <c r="N11" s="557">
        <f t="shared" si="0"/>
        <v>3</v>
      </c>
      <c r="O11" s="557">
        <f t="shared" si="0"/>
        <v>0</v>
      </c>
      <c r="P11" s="557">
        <f t="shared" si="0"/>
        <v>12</v>
      </c>
      <c r="Q11" s="557">
        <f t="shared" si="0"/>
        <v>5756</v>
      </c>
      <c r="R11" s="557">
        <f t="shared" si="0"/>
        <v>9288</v>
      </c>
      <c r="S11" s="558">
        <f aca="true" t="shared" si="1" ref="S11:S80">(J11+K11)/I11*100</f>
        <v>39.96260411354751</v>
      </c>
      <c r="T11" s="559">
        <f>C11-F11-H11</f>
        <v>0</v>
      </c>
      <c r="U11" s="395"/>
    </row>
    <row r="12" spans="1:21" s="387" customFormat="1" ht="25.5" customHeight="1">
      <c r="A12" s="560" t="s">
        <v>0</v>
      </c>
      <c r="B12" s="561" t="s">
        <v>78</v>
      </c>
      <c r="C12" s="557">
        <f>SUM(C13:C31)</f>
        <v>464</v>
      </c>
      <c r="D12" s="557">
        <f aca="true" t="shared" si="2" ref="D12:R12">SUM(D13:D31)</f>
        <v>193</v>
      </c>
      <c r="E12" s="557">
        <f t="shared" si="2"/>
        <v>271</v>
      </c>
      <c r="F12" s="557">
        <f t="shared" si="2"/>
        <v>7</v>
      </c>
      <c r="G12" s="557">
        <f t="shared" si="2"/>
        <v>0</v>
      </c>
      <c r="H12" s="557">
        <f t="shared" si="2"/>
        <v>457</v>
      </c>
      <c r="I12" s="557">
        <f t="shared" si="2"/>
        <v>416</v>
      </c>
      <c r="J12" s="557">
        <f t="shared" si="2"/>
        <v>140</v>
      </c>
      <c r="K12" s="557">
        <f t="shared" si="2"/>
        <v>0</v>
      </c>
      <c r="L12" s="557">
        <f t="shared" si="2"/>
        <v>274</v>
      </c>
      <c r="M12" s="557">
        <f t="shared" si="2"/>
        <v>0</v>
      </c>
      <c r="N12" s="557">
        <f t="shared" si="2"/>
        <v>2</v>
      </c>
      <c r="O12" s="557">
        <f t="shared" si="2"/>
        <v>0</v>
      </c>
      <c r="P12" s="557">
        <f t="shared" si="2"/>
        <v>0</v>
      </c>
      <c r="Q12" s="557">
        <f t="shared" si="2"/>
        <v>41</v>
      </c>
      <c r="R12" s="557">
        <f t="shared" si="2"/>
        <v>317</v>
      </c>
      <c r="S12" s="558">
        <f t="shared" si="1"/>
        <v>33.65384615384615</v>
      </c>
      <c r="T12" s="559">
        <f>C12-F12-H12</f>
        <v>0</v>
      </c>
      <c r="U12" s="395"/>
    </row>
    <row r="13" spans="1:20" ht="25.5" customHeight="1">
      <c r="A13" s="562" t="s">
        <v>45</v>
      </c>
      <c r="B13" s="562" t="s">
        <v>435</v>
      </c>
      <c r="C13" s="461">
        <f>D13+E13</f>
        <v>8</v>
      </c>
      <c r="D13" s="462">
        <v>1</v>
      </c>
      <c r="E13" s="461">
        <v>7</v>
      </c>
      <c r="F13" s="461">
        <v>0</v>
      </c>
      <c r="G13" s="461"/>
      <c r="H13" s="461">
        <f aca="true" t="shared" si="3" ref="H13:H31">I13+Q13</f>
        <v>8</v>
      </c>
      <c r="I13" s="461">
        <f>SUM(J13:P13)</f>
        <v>8</v>
      </c>
      <c r="J13" s="461">
        <v>0</v>
      </c>
      <c r="K13" s="461">
        <v>0</v>
      </c>
      <c r="L13" s="461">
        <v>8</v>
      </c>
      <c r="M13" s="461"/>
      <c r="N13" s="461"/>
      <c r="O13" s="461"/>
      <c r="P13" s="461"/>
      <c r="Q13" s="461"/>
      <c r="R13" s="461">
        <f aca="true" t="shared" si="4" ref="R13:R31">SUM(L13:Q13)</f>
        <v>8</v>
      </c>
      <c r="S13" s="454">
        <f>(J13+K13)/H13*100</f>
        <v>0</v>
      </c>
      <c r="T13" s="563">
        <f>C13-F13-H13</f>
        <v>0</v>
      </c>
    </row>
    <row r="14" spans="1:20" ht="25.5" customHeight="1">
      <c r="A14" s="564" t="s">
        <v>46</v>
      </c>
      <c r="B14" s="564" t="s">
        <v>436</v>
      </c>
      <c r="C14" s="461">
        <f aca="true" t="shared" si="5" ref="C14:C31">D14+E14</f>
        <v>9</v>
      </c>
      <c r="D14" s="462">
        <v>2</v>
      </c>
      <c r="E14" s="461">
        <v>7</v>
      </c>
      <c r="F14" s="461">
        <v>0</v>
      </c>
      <c r="G14" s="461"/>
      <c r="H14" s="461">
        <f t="shared" si="3"/>
        <v>9</v>
      </c>
      <c r="I14" s="461">
        <f>SUM(J14:P14)</f>
        <v>9</v>
      </c>
      <c r="J14" s="461">
        <v>0</v>
      </c>
      <c r="K14" s="461">
        <v>0</v>
      </c>
      <c r="L14" s="461">
        <v>9</v>
      </c>
      <c r="M14" s="461"/>
      <c r="N14" s="461"/>
      <c r="O14" s="461"/>
      <c r="P14" s="461"/>
      <c r="Q14" s="461"/>
      <c r="R14" s="461">
        <f t="shared" si="4"/>
        <v>9</v>
      </c>
      <c r="S14" s="454">
        <f t="shared" si="1"/>
        <v>0</v>
      </c>
      <c r="T14" s="565"/>
    </row>
    <row r="15" spans="1:20" ht="25.5" customHeight="1">
      <c r="A15" s="564" t="s">
        <v>102</v>
      </c>
      <c r="B15" s="564" t="s">
        <v>434</v>
      </c>
      <c r="C15" s="461">
        <f t="shared" si="5"/>
        <v>15</v>
      </c>
      <c r="D15" s="462">
        <v>0</v>
      </c>
      <c r="E15" s="461">
        <v>15</v>
      </c>
      <c r="F15" s="461">
        <v>0</v>
      </c>
      <c r="G15" s="461"/>
      <c r="H15" s="461">
        <f t="shared" si="3"/>
        <v>15</v>
      </c>
      <c r="I15" s="461">
        <f aca="true" t="shared" si="6" ref="I15:I31">SUM(J15:P15)</f>
        <v>15</v>
      </c>
      <c r="J15" s="461">
        <v>7</v>
      </c>
      <c r="K15" s="461">
        <v>0</v>
      </c>
      <c r="L15" s="461">
        <v>8</v>
      </c>
      <c r="M15" s="461"/>
      <c r="N15" s="461"/>
      <c r="O15" s="461"/>
      <c r="P15" s="461"/>
      <c r="Q15" s="461"/>
      <c r="R15" s="461">
        <f t="shared" si="4"/>
        <v>8</v>
      </c>
      <c r="S15" s="454">
        <f t="shared" si="1"/>
        <v>46.666666666666664</v>
      </c>
      <c r="T15" s="565">
        <f aca="true" t="shared" si="7" ref="T15:T79">H15-I15-Q15</f>
        <v>0</v>
      </c>
    </row>
    <row r="16" spans="1:20" ht="25.5" customHeight="1">
      <c r="A16" s="564" t="s">
        <v>104</v>
      </c>
      <c r="B16" s="564" t="s">
        <v>526</v>
      </c>
      <c r="C16" s="461">
        <f t="shared" si="5"/>
        <v>12</v>
      </c>
      <c r="D16" s="462">
        <v>7</v>
      </c>
      <c r="E16" s="461">
        <v>5</v>
      </c>
      <c r="F16" s="461">
        <v>0</v>
      </c>
      <c r="G16" s="461"/>
      <c r="H16" s="461">
        <f t="shared" si="3"/>
        <v>12</v>
      </c>
      <c r="I16" s="461">
        <f t="shared" si="6"/>
        <v>12</v>
      </c>
      <c r="J16" s="461">
        <v>6</v>
      </c>
      <c r="K16" s="461">
        <v>0</v>
      </c>
      <c r="L16" s="461">
        <v>4</v>
      </c>
      <c r="M16" s="461"/>
      <c r="N16" s="461">
        <v>2</v>
      </c>
      <c r="O16" s="461"/>
      <c r="P16" s="461"/>
      <c r="Q16" s="461"/>
      <c r="R16" s="461">
        <f t="shared" si="4"/>
        <v>6</v>
      </c>
      <c r="S16" s="454">
        <f t="shared" si="1"/>
        <v>50</v>
      </c>
      <c r="T16" s="565">
        <f t="shared" si="7"/>
        <v>0</v>
      </c>
    </row>
    <row r="17" spans="1:20" ht="25.5" customHeight="1">
      <c r="A17" s="564" t="s">
        <v>105</v>
      </c>
      <c r="B17" s="564" t="s">
        <v>437</v>
      </c>
      <c r="C17" s="461">
        <f t="shared" si="5"/>
        <v>29</v>
      </c>
      <c r="D17" s="462">
        <v>15</v>
      </c>
      <c r="E17" s="461">
        <f>4+10</f>
        <v>14</v>
      </c>
      <c r="F17" s="461">
        <v>0</v>
      </c>
      <c r="G17" s="461"/>
      <c r="H17" s="461">
        <f t="shared" si="3"/>
        <v>29</v>
      </c>
      <c r="I17" s="461">
        <f t="shared" si="6"/>
        <v>26</v>
      </c>
      <c r="J17" s="461">
        <f>3+10</f>
        <v>13</v>
      </c>
      <c r="K17" s="461">
        <v>0</v>
      </c>
      <c r="L17" s="461">
        <v>13</v>
      </c>
      <c r="M17" s="461"/>
      <c r="N17" s="461"/>
      <c r="O17" s="461"/>
      <c r="P17" s="461"/>
      <c r="Q17" s="461">
        <v>3</v>
      </c>
      <c r="R17" s="461">
        <f t="shared" si="4"/>
        <v>16</v>
      </c>
      <c r="S17" s="454">
        <f t="shared" si="1"/>
        <v>50</v>
      </c>
      <c r="T17" s="565">
        <f t="shared" si="7"/>
        <v>0</v>
      </c>
    </row>
    <row r="18" spans="1:20" ht="25.5" customHeight="1">
      <c r="A18" s="564" t="s">
        <v>107</v>
      </c>
      <c r="B18" s="564" t="s">
        <v>438</v>
      </c>
      <c r="C18" s="461">
        <f t="shared" si="5"/>
        <v>13</v>
      </c>
      <c r="D18" s="462">
        <v>13</v>
      </c>
      <c r="E18" s="461">
        <v>0</v>
      </c>
      <c r="F18" s="461">
        <v>0</v>
      </c>
      <c r="G18" s="461"/>
      <c r="H18" s="461">
        <f t="shared" si="3"/>
        <v>13</v>
      </c>
      <c r="I18" s="461">
        <f t="shared" si="6"/>
        <v>8</v>
      </c>
      <c r="J18" s="461">
        <v>0</v>
      </c>
      <c r="K18" s="461">
        <v>0</v>
      </c>
      <c r="L18" s="463">
        <v>8</v>
      </c>
      <c r="M18" s="463"/>
      <c r="N18" s="464"/>
      <c r="O18" s="464"/>
      <c r="P18" s="464"/>
      <c r="Q18" s="464">
        <v>5</v>
      </c>
      <c r="R18" s="461">
        <f t="shared" si="4"/>
        <v>13</v>
      </c>
      <c r="S18" s="454">
        <f t="shared" si="1"/>
        <v>0</v>
      </c>
      <c r="T18" s="565">
        <f t="shared" si="7"/>
        <v>0</v>
      </c>
    </row>
    <row r="19" spans="1:20" ht="25.5" customHeight="1">
      <c r="A19" s="564" t="s">
        <v>108</v>
      </c>
      <c r="B19" s="564" t="s">
        <v>439</v>
      </c>
      <c r="C19" s="461">
        <f t="shared" si="5"/>
        <v>25</v>
      </c>
      <c r="D19" s="462">
        <v>11</v>
      </c>
      <c r="E19" s="461">
        <v>14</v>
      </c>
      <c r="F19" s="461">
        <v>0</v>
      </c>
      <c r="G19" s="464"/>
      <c r="H19" s="461">
        <f>I19+Q19</f>
        <v>25</v>
      </c>
      <c r="I19" s="461">
        <f t="shared" si="6"/>
        <v>23</v>
      </c>
      <c r="J19" s="461">
        <v>8</v>
      </c>
      <c r="K19" s="461">
        <v>0</v>
      </c>
      <c r="L19" s="464">
        <v>15</v>
      </c>
      <c r="M19" s="464"/>
      <c r="N19" s="463"/>
      <c r="O19" s="464"/>
      <c r="P19" s="464"/>
      <c r="Q19" s="464">
        <v>2</v>
      </c>
      <c r="R19" s="461">
        <f t="shared" si="4"/>
        <v>17</v>
      </c>
      <c r="S19" s="454">
        <f t="shared" si="1"/>
        <v>34.78260869565217</v>
      </c>
      <c r="T19" s="565">
        <f t="shared" si="7"/>
        <v>0</v>
      </c>
    </row>
    <row r="20" spans="1:20" ht="25.5" customHeight="1">
      <c r="A20" s="564" t="s">
        <v>115</v>
      </c>
      <c r="B20" s="564" t="s">
        <v>440</v>
      </c>
      <c r="C20" s="461">
        <f t="shared" si="5"/>
        <v>23</v>
      </c>
      <c r="D20" s="462">
        <v>6</v>
      </c>
      <c r="E20" s="461">
        <f>12+5</f>
        <v>17</v>
      </c>
      <c r="F20" s="461">
        <v>0</v>
      </c>
      <c r="G20" s="464"/>
      <c r="H20" s="461">
        <f t="shared" si="3"/>
        <v>23</v>
      </c>
      <c r="I20" s="461">
        <f t="shared" si="6"/>
        <v>22</v>
      </c>
      <c r="J20" s="461">
        <v>5</v>
      </c>
      <c r="K20" s="461">
        <v>0</v>
      </c>
      <c r="L20" s="464">
        <v>17</v>
      </c>
      <c r="M20" s="464"/>
      <c r="N20" s="463"/>
      <c r="O20" s="464"/>
      <c r="P20" s="464"/>
      <c r="Q20" s="464">
        <v>1</v>
      </c>
      <c r="R20" s="461">
        <f t="shared" si="4"/>
        <v>18</v>
      </c>
      <c r="S20" s="454">
        <f t="shared" si="1"/>
        <v>22.727272727272727</v>
      </c>
      <c r="T20" s="565">
        <f t="shared" si="7"/>
        <v>0</v>
      </c>
    </row>
    <row r="21" spans="1:20" ht="25.5" customHeight="1">
      <c r="A21" s="564" t="s">
        <v>425</v>
      </c>
      <c r="B21" s="564" t="s">
        <v>442</v>
      </c>
      <c r="C21" s="461">
        <f t="shared" si="5"/>
        <v>37</v>
      </c>
      <c r="D21" s="462">
        <v>19</v>
      </c>
      <c r="E21" s="461">
        <v>18</v>
      </c>
      <c r="F21" s="461">
        <v>0</v>
      </c>
      <c r="G21" s="522"/>
      <c r="H21" s="461">
        <f t="shared" si="3"/>
        <v>37</v>
      </c>
      <c r="I21" s="461">
        <f t="shared" si="6"/>
        <v>37</v>
      </c>
      <c r="J21" s="461">
        <v>13</v>
      </c>
      <c r="K21" s="461">
        <v>0</v>
      </c>
      <c r="L21" s="522">
        <v>24</v>
      </c>
      <c r="M21" s="522"/>
      <c r="N21" s="463"/>
      <c r="O21" s="522"/>
      <c r="P21" s="522"/>
      <c r="Q21" s="522"/>
      <c r="R21" s="461">
        <f t="shared" si="4"/>
        <v>24</v>
      </c>
      <c r="S21" s="454">
        <f t="shared" si="1"/>
        <v>35.13513513513514</v>
      </c>
      <c r="T21" s="565">
        <f t="shared" si="7"/>
        <v>0</v>
      </c>
    </row>
    <row r="22" spans="1:20" ht="25.5" customHeight="1">
      <c r="A22" s="564" t="s">
        <v>441</v>
      </c>
      <c r="B22" s="564" t="s">
        <v>444</v>
      </c>
      <c r="C22" s="461">
        <f t="shared" si="5"/>
        <v>12</v>
      </c>
      <c r="D22" s="462">
        <v>11</v>
      </c>
      <c r="E22" s="461">
        <v>1</v>
      </c>
      <c r="F22" s="461">
        <v>0</v>
      </c>
      <c r="G22" s="464"/>
      <c r="H22" s="461">
        <f t="shared" si="3"/>
        <v>12</v>
      </c>
      <c r="I22" s="461">
        <f t="shared" si="6"/>
        <v>12</v>
      </c>
      <c r="J22" s="461">
        <v>0</v>
      </c>
      <c r="K22" s="461">
        <v>0</v>
      </c>
      <c r="L22" s="464">
        <v>12</v>
      </c>
      <c r="M22" s="464"/>
      <c r="N22" s="463"/>
      <c r="O22" s="464"/>
      <c r="P22" s="464"/>
      <c r="Q22" s="464"/>
      <c r="R22" s="461">
        <f t="shared" si="4"/>
        <v>12</v>
      </c>
      <c r="S22" s="454">
        <f t="shared" si="1"/>
        <v>0</v>
      </c>
      <c r="T22" s="565">
        <f t="shared" si="7"/>
        <v>0</v>
      </c>
    </row>
    <row r="23" spans="1:20" ht="25.5" customHeight="1">
      <c r="A23" s="564" t="s">
        <v>443</v>
      </c>
      <c r="B23" s="564" t="s">
        <v>540</v>
      </c>
      <c r="C23" s="461">
        <f t="shared" si="5"/>
        <v>35</v>
      </c>
      <c r="D23" s="462">
        <v>16</v>
      </c>
      <c r="E23" s="461">
        <f>8+11</f>
        <v>19</v>
      </c>
      <c r="F23" s="461">
        <v>0</v>
      </c>
      <c r="G23" s="464"/>
      <c r="H23" s="461">
        <f t="shared" si="3"/>
        <v>35</v>
      </c>
      <c r="I23" s="461">
        <f t="shared" si="6"/>
        <v>31</v>
      </c>
      <c r="J23" s="461">
        <v>6</v>
      </c>
      <c r="K23" s="461">
        <v>0</v>
      </c>
      <c r="L23" s="464">
        <v>25</v>
      </c>
      <c r="M23" s="464"/>
      <c r="N23" s="463"/>
      <c r="O23" s="464"/>
      <c r="P23" s="464"/>
      <c r="Q23" s="464">
        <f>1+3</f>
        <v>4</v>
      </c>
      <c r="R23" s="461">
        <f t="shared" si="4"/>
        <v>29</v>
      </c>
      <c r="S23" s="454">
        <f t="shared" si="1"/>
        <v>19.35483870967742</v>
      </c>
      <c r="T23" s="565">
        <f t="shared" si="7"/>
        <v>0</v>
      </c>
    </row>
    <row r="24" spans="1:20" ht="25.5" customHeight="1">
      <c r="A24" s="564" t="s">
        <v>445</v>
      </c>
      <c r="B24" s="564" t="s">
        <v>541</v>
      </c>
      <c r="C24" s="566">
        <f>D24+E24</f>
        <v>49</v>
      </c>
      <c r="D24" s="523">
        <v>28</v>
      </c>
      <c r="E24" s="461">
        <f>6+15</f>
        <v>21</v>
      </c>
      <c r="F24" s="461">
        <v>0</v>
      </c>
      <c r="G24" s="524"/>
      <c r="H24" s="566">
        <f>I24+Q24</f>
        <v>49</v>
      </c>
      <c r="I24" s="566">
        <f>SUM(J24:P24)</f>
        <v>43</v>
      </c>
      <c r="J24" s="461">
        <v>10</v>
      </c>
      <c r="K24" s="461">
        <v>0</v>
      </c>
      <c r="L24" s="525">
        <f>28+5</f>
        <v>33</v>
      </c>
      <c r="M24" s="525"/>
      <c r="N24" s="526"/>
      <c r="O24" s="526"/>
      <c r="P24" s="526"/>
      <c r="Q24" s="526">
        <v>6</v>
      </c>
      <c r="R24" s="461">
        <f t="shared" si="4"/>
        <v>39</v>
      </c>
      <c r="S24" s="454">
        <f t="shared" si="1"/>
        <v>23.25581395348837</v>
      </c>
      <c r="T24" s="565">
        <f t="shared" si="7"/>
        <v>0</v>
      </c>
    </row>
    <row r="25" spans="1:20" ht="25.5" customHeight="1">
      <c r="A25" s="564" t="s">
        <v>446</v>
      </c>
      <c r="B25" s="564" t="s">
        <v>448</v>
      </c>
      <c r="C25" s="567">
        <f>D25+E25</f>
        <v>38</v>
      </c>
      <c r="D25" s="461">
        <v>19</v>
      </c>
      <c r="E25" s="461">
        <v>19</v>
      </c>
      <c r="F25" s="461">
        <v>2</v>
      </c>
      <c r="G25" s="527"/>
      <c r="H25" s="567">
        <f>I25+Q25</f>
        <v>36</v>
      </c>
      <c r="I25" s="567">
        <f>SUM(J25:P25)</f>
        <v>31</v>
      </c>
      <c r="J25" s="461">
        <v>10</v>
      </c>
      <c r="K25" s="461">
        <v>0</v>
      </c>
      <c r="L25" s="528">
        <f>21</f>
        <v>21</v>
      </c>
      <c r="M25" s="528"/>
      <c r="N25" s="529">
        <v>0</v>
      </c>
      <c r="O25" s="529"/>
      <c r="P25" s="529"/>
      <c r="Q25" s="529">
        <v>5</v>
      </c>
      <c r="R25" s="568">
        <f>H25-J25-K25</f>
        <v>26</v>
      </c>
      <c r="S25" s="454">
        <f t="shared" si="1"/>
        <v>32.25806451612903</v>
      </c>
      <c r="T25" s="565">
        <f t="shared" si="7"/>
        <v>0</v>
      </c>
    </row>
    <row r="26" spans="1:20" ht="25.5" customHeight="1">
      <c r="A26" s="564" t="s">
        <v>447</v>
      </c>
      <c r="B26" s="564" t="s">
        <v>450</v>
      </c>
      <c r="C26" s="461">
        <f t="shared" si="5"/>
        <v>29</v>
      </c>
      <c r="D26" s="462">
        <v>5</v>
      </c>
      <c r="E26" s="461">
        <f>14+10</f>
        <v>24</v>
      </c>
      <c r="F26" s="461">
        <v>0</v>
      </c>
      <c r="G26" s="464"/>
      <c r="H26" s="461">
        <f t="shared" si="3"/>
        <v>29</v>
      </c>
      <c r="I26" s="461">
        <f t="shared" si="6"/>
        <v>26</v>
      </c>
      <c r="J26" s="461">
        <v>7</v>
      </c>
      <c r="K26" s="461">
        <v>0</v>
      </c>
      <c r="L26" s="464">
        <v>19</v>
      </c>
      <c r="M26" s="464">
        <v>0</v>
      </c>
      <c r="N26" s="463"/>
      <c r="O26" s="464"/>
      <c r="P26" s="464"/>
      <c r="Q26" s="464">
        <v>3</v>
      </c>
      <c r="R26" s="461">
        <f t="shared" si="4"/>
        <v>22</v>
      </c>
      <c r="S26" s="454">
        <f t="shared" si="1"/>
        <v>26.923076923076923</v>
      </c>
      <c r="T26" s="565">
        <f t="shared" si="7"/>
        <v>0</v>
      </c>
    </row>
    <row r="27" spans="1:20" ht="25.5" customHeight="1">
      <c r="A27" s="564" t="s">
        <v>449</v>
      </c>
      <c r="B27" s="564" t="s">
        <v>452</v>
      </c>
      <c r="C27" s="461">
        <f t="shared" si="5"/>
        <v>44</v>
      </c>
      <c r="D27" s="462">
        <v>19</v>
      </c>
      <c r="E27" s="461">
        <v>25</v>
      </c>
      <c r="F27" s="461">
        <v>0</v>
      </c>
      <c r="G27" s="530"/>
      <c r="H27" s="461">
        <f t="shared" si="3"/>
        <v>44</v>
      </c>
      <c r="I27" s="461">
        <f t="shared" si="6"/>
        <v>43</v>
      </c>
      <c r="J27" s="461">
        <v>5</v>
      </c>
      <c r="K27" s="461">
        <v>0</v>
      </c>
      <c r="L27" s="463">
        <v>38</v>
      </c>
      <c r="M27" s="463"/>
      <c r="N27" s="463"/>
      <c r="O27" s="464"/>
      <c r="P27" s="464"/>
      <c r="Q27" s="464">
        <v>1</v>
      </c>
      <c r="R27" s="461">
        <f t="shared" si="4"/>
        <v>39</v>
      </c>
      <c r="S27" s="454">
        <f t="shared" si="1"/>
        <v>11.627906976744185</v>
      </c>
      <c r="T27" s="565">
        <f t="shared" si="7"/>
        <v>0</v>
      </c>
    </row>
    <row r="28" spans="1:20" ht="25.5" customHeight="1">
      <c r="A28" s="564" t="s">
        <v>451</v>
      </c>
      <c r="B28" s="564" t="s">
        <v>454</v>
      </c>
      <c r="C28" s="461">
        <f t="shared" si="5"/>
        <v>25</v>
      </c>
      <c r="D28" s="461">
        <v>8</v>
      </c>
      <c r="E28" s="461">
        <f>7+10</f>
        <v>17</v>
      </c>
      <c r="F28" s="461">
        <v>0</v>
      </c>
      <c r="G28" s="461"/>
      <c r="H28" s="461">
        <f t="shared" si="3"/>
        <v>25</v>
      </c>
      <c r="I28" s="461">
        <f t="shared" si="6"/>
        <v>21</v>
      </c>
      <c r="J28" s="461">
        <v>14</v>
      </c>
      <c r="K28" s="461">
        <v>0</v>
      </c>
      <c r="L28" s="463">
        <v>7</v>
      </c>
      <c r="M28" s="463"/>
      <c r="N28" s="463"/>
      <c r="O28" s="464"/>
      <c r="P28" s="464"/>
      <c r="Q28" s="464">
        <v>4</v>
      </c>
      <c r="R28" s="461">
        <f t="shared" si="4"/>
        <v>11</v>
      </c>
      <c r="S28" s="454">
        <f t="shared" si="1"/>
        <v>66.66666666666666</v>
      </c>
      <c r="T28" s="565">
        <f t="shared" si="7"/>
        <v>0</v>
      </c>
    </row>
    <row r="29" spans="1:20" ht="25.5" customHeight="1">
      <c r="A29" s="564" t="s">
        <v>453</v>
      </c>
      <c r="B29" s="564" t="s">
        <v>549</v>
      </c>
      <c r="C29" s="461">
        <f t="shared" si="5"/>
        <v>26</v>
      </c>
      <c r="D29" s="461">
        <v>6</v>
      </c>
      <c r="E29" s="461">
        <v>20</v>
      </c>
      <c r="F29" s="461">
        <v>0</v>
      </c>
      <c r="G29" s="461">
        <v>0</v>
      </c>
      <c r="H29" s="461">
        <f t="shared" si="3"/>
        <v>26</v>
      </c>
      <c r="I29" s="461">
        <f t="shared" si="6"/>
        <v>25</v>
      </c>
      <c r="J29" s="461">
        <v>19</v>
      </c>
      <c r="K29" s="461">
        <v>0</v>
      </c>
      <c r="L29" s="463">
        <v>6</v>
      </c>
      <c r="M29" s="463"/>
      <c r="N29" s="463"/>
      <c r="O29" s="464"/>
      <c r="P29" s="464"/>
      <c r="Q29" s="464">
        <v>1</v>
      </c>
      <c r="R29" s="461">
        <f t="shared" si="4"/>
        <v>7</v>
      </c>
      <c r="S29" s="454">
        <f t="shared" si="1"/>
        <v>76</v>
      </c>
      <c r="T29" s="565">
        <f t="shared" si="7"/>
        <v>0</v>
      </c>
    </row>
    <row r="30" spans="1:21" s="387" customFormat="1" ht="25.5" customHeight="1">
      <c r="A30" s="564" t="s">
        <v>575</v>
      </c>
      <c r="B30" s="564" t="s">
        <v>542</v>
      </c>
      <c r="C30" s="461">
        <f t="shared" si="5"/>
        <v>26</v>
      </c>
      <c r="D30" s="461">
        <v>7</v>
      </c>
      <c r="E30" s="461">
        <f>7+6+6</f>
        <v>19</v>
      </c>
      <c r="F30" s="461">
        <v>2</v>
      </c>
      <c r="G30" s="461"/>
      <c r="H30" s="461">
        <f t="shared" si="3"/>
        <v>24</v>
      </c>
      <c r="I30" s="461">
        <f t="shared" si="6"/>
        <v>18</v>
      </c>
      <c r="J30" s="461">
        <v>13</v>
      </c>
      <c r="K30" s="461">
        <v>0</v>
      </c>
      <c r="L30" s="463">
        <v>5</v>
      </c>
      <c r="M30" s="463"/>
      <c r="N30" s="463"/>
      <c r="O30" s="464"/>
      <c r="P30" s="464"/>
      <c r="Q30" s="464">
        <v>6</v>
      </c>
      <c r="R30" s="461">
        <f t="shared" si="4"/>
        <v>11</v>
      </c>
      <c r="S30" s="454">
        <f t="shared" si="1"/>
        <v>72.22222222222221</v>
      </c>
      <c r="T30" s="565">
        <f t="shared" si="7"/>
        <v>0</v>
      </c>
      <c r="U30" s="395"/>
    </row>
    <row r="31" spans="1:21" s="387" customFormat="1" ht="25.5" customHeight="1">
      <c r="A31" s="564" t="s">
        <v>625</v>
      </c>
      <c r="B31" s="564" t="s">
        <v>624</v>
      </c>
      <c r="C31" s="461">
        <f t="shared" si="5"/>
        <v>9</v>
      </c>
      <c r="D31" s="461">
        <v>0</v>
      </c>
      <c r="E31" s="461">
        <v>9</v>
      </c>
      <c r="F31" s="461">
        <v>3</v>
      </c>
      <c r="G31" s="461">
        <v>0</v>
      </c>
      <c r="H31" s="461">
        <f t="shared" si="3"/>
        <v>6</v>
      </c>
      <c r="I31" s="461">
        <f t="shared" si="6"/>
        <v>6</v>
      </c>
      <c r="J31" s="461">
        <v>4</v>
      </c>
      <c r="K31" s="461">
        <v>0</v>
      </c>
      <c r="L31" s="463">
        <v>2</v>
      </c>
      <c r="M31" s="463">
        <v>0</v>
      </c>
      <c r="N31" s="463">
        <v>0</v>
      </c>
      <c r="O31" s="464">
        <v>0</v>
      </c>
      <c r="P31" s="464">
        <v>0</v>
      </c>
      <c r="Q31" s="464">
        <v>0</v>
      </c>
      <c r="R31" s="461">
        <f t="shared" si="4"/>
        <v>2</v>
      </c>
      <c r="S31" s="454">
        <f>(J31+K31)/I31*100</f>
        <v>66.66666666666666</v>
      </c>
      <c r="T31" s="565"/>
      <c r="U31" s="395"/>
    </row>
    <row r="32" spans="1:20" ht="25.5" customHeight="1">
      <c r="A32" s="531" t="s">
        <v>1</v>
      </c>
      <c r="B32" s="569" t="s">
        <v>455</v>
      </c>
      <c r="C32" s="570">
        <f>C33+C40+C44+C47+C49+C57+C63+C72+C76+C80+C90+C94+C98+C112+C117</f>
        <v>11222</v>
      </c>
      <c r="D32" s="570">
        <f aca="true" t="shared" si="8" ref="D32:Q32">D33+D40+D44+D47+D49+D57+D63+D72+D76+D80+D90+D94+D98+D112+D117</f>
        <v>7904</v>
      </c>
      <c r="E32" s="570">
        <f t="shared" si="8"/>
        <v>3318</v>
      </c>
      <c r="F32" s="570">
        <f t="shared" si="8"/>
        <v>40</v>
      </c>
      <c r="G32" s="570">
        <f t="shared" si="8"/>
        <v>2</v>
      </c>
      <c r="H32" s="570">
        <f t="shared" si="8"/>
        <v>11182</v>
      </c>
      <c r="I32" s="570">
        <f t="shared" si="8"/>
        <v>5467</v>
      </c>
      <c r="J32" s="570">
        <f t="shared" si="8"/>
        <v>2151</v>
      </c>
      <c r="K32" s="570">
        <f t="shared" si="8"/>
        <v>60</v>
      </c>
      <c r="L32" s="570">
        <f t="shared" si="8"/>
        <v>3238</v>
      </c>
      <c r="M32" s="570">
        <f t="shared" si="8"/>
        <v>5</v>
      </c>
      <c r="N32" s="570">
        <f t="shared" si="8"/>
        <v>1</v>
      </c>
      <c r="O32" s="570">
        <f t="shared" si="8"/>
        <v>0</v>
      </c>
      <c r="P32" s="570">
        <f t="shared" si="8"/>
        <v>12</v>
      </c>
      <c r="Q32" s="570">
        <f t="shared" si="8"/>
        <v>5715</v>
      </c>
      <c r="R32" s="532">
        <f aca="true" t="shared" si="9" ref="R32:R80">SUM(L32:Q32)</f>
        <v>8971</v>
      </c>
      <c r="S32" s="533">
        <f t="shared" si="1"/>
        <v>40.44265593561368</v>
      </c>
      <c r="T32" s="571">
        <f t="shared" si="7"/>
        <v>0</v>
      </c>
    </row>
    <row r="33" spans="1:21" s="387" customFormat="1" ht="25.5" customHeight="1">
      <c r="A33" s="455">
        <v>1</v>
      </c>
      <c r="B33" s="456" t="s">
        <v>456</v>
      </c>
      <c r="C33" s="572">
        <f>SUM(C34:C39)</f>
        <v>934</v>
      </c>
      <c r="D33" s="572">
        <f aca="true" t="shared" si="10" ref="D33:Q33">SUM(D34:D39)</f>
        <v>627</v>
      </c>
      <c r="E33" s="572">
        <f t="shared" si="10"/>
        <v>307</v>
      </c>
      <c r="F33" s="572">
        <f t="shared" si="10"/>
        <v>1</v>
      </c>
      <c r="G33" s="572">
        <f t="shared" si="10"/>
        <v>0</v>
      </c>
      <c r="H33" s="572">
        <f t="shared" si="10"/>
        <v>933</v>
      </c>
      <c r="I33" s="572">
        <f t="shared" si="10"/>
        <v>506</v>
      </c>
      <c r="J33" s="572">
        <f t="shared" si="10"/>
        <v>181</v>
      </c>
      <c r="K33" s="572">
        <f t="shared" si="10"/>
        <v>0</v>
      </c>
      <c r="L33" s="572">
        <f t="shared" si="10"/>
        <v>325</v>
      </c>
      <c r="M33" s="572">
        <f t="shared" si="10"/>
        <v>0</v>
      </c>
      <c r="N33" s="572">
        <f t="shared" si="10"/>
        <v>0</v>
      </c>
      <c r="O33" s="572">
        <f t="shared" si="10"/>
        <v>0</v>
      </c>
      <c r="P33" s="572">
        <f t="shared" si="10"/>
        <v>0</v>
      </c>
      <c r="Q33" s="572">
        <f t="shared" si="10"/>
        <v>427</v>
      </c>
      <c r="R33" s="457">
        <f t="shared" si="9"/>
        <v>752</v>
      </c>
      <c r="S33" s="453">
        <f t="shared" si="1"/>
        <v>35.77075098814229</v>
      </c>
      <c r="T33" s="563">
        <f t="shared" si="7"/>
        <v>0</v>
      </c>
      <c r="U33" s="395"/>
    </row>
    <row r="34" spans="1:20" ht="25.5" customHeight="1">
      <c r="A34" s="531">
        <v>1.1</v>
      </c>
      <c r="B34" s="573" t="s">
        <v>569</v>
      </c>
      <c r="C34" s="574">
        <v>114</v>
      </c>
      <c r="D34" s="574">
        <v>75</v>
      </c>
      <c r="E34" s="574">
        <v>39</v>
      </c>
      <c r="F34" s="574">
        <v>0</v>
      </c>
      <c r="G34" s="574">
        <v>0</v>
      </c>
      <c r="H34" s="574">
        <v>114</v>
      </c>
      <c r="I34" s="574">
        <v>73</v>
      </c>
      <c r="J34" s="574">
        <v>31</v>
      </c>
      <c r="K34" s="574">
        <v>0</v>
      </c>
      <c r="L34" s="574">
        <v>42</v>
      </c>
      <c r="M34" s="574">
        <v>0</v>
      </c>
      <c r="N34" s="574">
        <v>0</v>
      </c>
      <c r="O34" s="574">
        <v>0</v>
      </c>
      <c r="P34" s="574">
        <v>0</v>
      </c>
      <c r="Q34" s="574">
        <v>41</v>
      </c>
      <c r="R34" s="532">
        <f t="shared" si="9"/>
        <v>83</v>
      </c>
      <c r="S34" s="533">
        <f t="shared" si="1"/>
        <v>42.465753424657535</v>
      </c>
      <c r="T34" s="571">
        <f t="shared" si="7"/>
        <v>0</v>
      </c>
    </row>
    <row r="35" spans="1:20" ht="25.5" customHeight="1">
      <c r="A35" s="531">
        <v>1.2</v>
      </c>
      <c r="B35" s="573" t="s">
        <v>543</v>
      </c>
      <c r="C35" s="574">
        <v>179</v>
      </c>
      <c r="D35" s="574">
        <v>111</v>
      </c>
      <c r="E35" s="574">
        <v>68</v>
      </c>
      <c r="F35" s="574">
        <v>0</v>
      </c>
      <c r="G35" s="574">
        <v>0</v>
      </c>
      <c r="H35" s="574">
        <v>179</v>
      </c>
      <c r="I35" s="574">
        <v>98</v>
      </c>
      <c r="J35" s="574">
        <v>25</v>
      </c>
      <c r="K35" s="574">
        <v>0</v>
      </c>
      <c r="L35" s="574">
        <v>73</v>
      </c>
      <c r="M35" s="574">
        <v>0</v>
      </c>
      <c r="N35" s="574">
        <v>0</v>
      </c>
      <c r="O35" s="574">
        <v>0</v>
      </c>
      <c r="P35" s="574">
        <v>0</v>
      </c>
      <c r="Q35" s="574">
        <v>81</v>
      </c>
      <c r="R35" s="532">
        <f t="shared" si="9"/>
        <v>154</v>
      </c>
      <c r="S35" s="533">
        <f t="shared" si="1"/>
        <v>25.510204081632654</v>
      </c>
      <c r="T35" s="571">
        <f t="shared" si="7"/>
        <v>0</v>
      </c>
    </row>
    <row r="36" spans="1:20" ht="25.5" customHeight="1">
      <c r="A36" s="531">
        <v>1.3</v>
      </c>
      <c r="B36" s="573" t="s">
        <v>457</v>
      </c>
      <c r="C36" s="574">
        <v>121</v>
      </c>
      <c r="D36" s="574">
        <v>78</v>
      </c>
      <c r="E36" s="574">
        <v>43</v>
      </c>
      <c r="F36" s="574">
        <v>0</v>
      </c>
      <c r="G36" s="574">
        <v>0</v>
      </c>
      <c r="H36" s="574">
        <v>121</v>
      </c>
      <c r="I36" s="574">
        <v>69</v>
      </c>
      <c r="J36" s="574">
        <v>28</v>
      </c>
      <c r="K36" s="574">
        <v>0</v>
      </c>
      <c r="L36" s="574">
        <v>41</v>
      </c>
      <c r="M36" s="574">
        <v>0</v>
      </c>
      <c r="N36" s="574">
        <v>0</v>
      </c>
      <c r="O36" s="574">
        <v>0</v>
      </c>
      <c r="P36" s="574">
        <v>0</v>
      </c>
      <c r="Q36" s="574">
        <v>52</v>
      </c>
      <c r="R36" s="532">
        <f t="shared" si="9"/>
        <v>93</v>
      </c>
      <c r="S36" s="533">
        <f t="shared" si="1"/>
        <v>40.57971014492754</v>
      </c>
      <c r="T36" s="571">
        <f t="shared" si="7"/>
        <v>0</v>
      </c>
    </row>
    <row r="37" spans="1:20" ht="25.5" customHeight="1">
      <c r="A37" s="531">
        <v>1.4</v>
      </c>
      <c r="B37" s="573" t="s">
        <v>544</v>
      </c>
      <c r="C37" s="574">
        <v>196</v>
      </c>
      <c r="D37" s="574">
        <v>126</v>
      </c>
      <c r="E37" s="574">
        <v>70</v>
      </c>
      <c r="F37" s="574">
        <v>0</v>
      </c>
      <c r="G37" s="574">
        <v>0</v>
      </c>
      <c r="H37" s="574">
        <v>196</v>
      </c>
      <c r="I37" s="574">
        <v>101</v>
      </c>
      <c r="J37" s="574">
        <v>45</v>
      </c>
      <c r="K37" s="574">
        <v>0</v>
      </c>
      <c r="L37" s="574">
        <v>56</v>
      </c>
      <c r="M37" s="574">
        <v>0</v>
      </c>
      <c r="N37" s="574">
        <v>0</v>
      </c>
      <c r="O37" s="574">
        <v>0</v>
      </c>
      <c r="P37" s="574">
        <v>0</v>
      </c>
      <c r="Q37" s="574">
        <v>95</v>
      </c>
      <c r="R37" s="532">
        <f t="shared" si="9"/>
        <v>151</v>
      </c>
      <c r="S37" s="533">
        <f t="shared" si="1"/>
        <v>44.554455445544555</v>
      </c>
      <c r="T37" s="571">
        <f t="shared" si="7"/>
        <v>0</v>
      </c>
    </row>
    <row r="38" spans="1:20" ht="25.5" customHeight="1">
      <c r="A38" s="531">
        <v>1.5</v>
      </c>
      <c r="B38" s="573" t="s">
        <v>515</v>
      </c>
      <c r="C38" s="574">
        <v>168</v>
      </c>
      <c r="D38" s="574">
        <v>114</v>
      </c>
      <c r="E38" s="574">
        <v>54</v>
      </c>
      <c r="F38" s="574">
        <v>1</v>
      </c>
      <c r="G38" s="574">
        <v>0</v>
      </c>
      <c r="H38" s="574">
        <v>167</v>
      </c>
      <c r="I38" s="574">
        <v>87</v>
      </c>
      <c r="J38" s="574">
        <v>28</v>
      </c>
      <c r="K38" s="574">
        <v>0</v>
      </c>
      <c r="L38" s="574">
        <v>59</v>
      </c>
      <c r="M38" s="574">
        <v>0</v>
      </c>
      <c r="N38" s="574">
        <v>0</v>
      </c>
      <c r="O38" s="574">
        <v>0</v>
      </c>
      <c r="P38" s="574">
        <v>0</v>
      </c>
      <c r="Q38" s="574">
        <v>80</v>
      </c>
      <c r="R38" s="532">
        <f t="shared" si="9"/>
        <v>139</v>
      </c>
      <c r="S38" s="533">
        <f t="shared" si="1"/>
        <v>32.18390804597701</v>
      </c>
      <c r="T38" s="571">
        <f t="shared" si="7"/>
        <v>0</v>
      </c>
    </row>
    <row r="39" spans="1:20" ht="25.5" customHeight="1">
      <c r="A39" s="531">
        <v>1.6</v>
      </c>
      <c r="B39" s="573" t="s">
        <v>620</v>
      </c>
      <c r="C39" s="574">
        <v>156</v>
      </c>
      <c r="D39" s="574">
        <v>123</v>
      </c>
      <c r="E39" s="574">
        <v>33</v>
      </c>
      <c r="F39" s="574"/>
      <c r="G39" s="574"/>
      <c r="H39" s="574">
        <v>156</v>
      </c>
      <c r="I39" s="574">
        <v>78</v>
      </c>
      <c r="J39" s="574">
        <v>24</v>
      </c>
      <c r="K39" s="574">
        <v>0</v>
      </c>
      <c r="L39" s="574">
        <v>54</v>
      </c>
      <c r="M39" s="574">
        <v>0</v>
      </c>
      <c r="N39" s="574">
        <v>0</v>
      </c>
      <c r="O39" s="574">
        <v>0</v>
      </c>
      <c r="P39" s="574">
        <v>0</v>
      </c>
      <c r="Q39" s="574">
        <v>78</v>
      </c>
      <c r="R39" s="532">
        <f>SUM(L39:Q39)</f>
        <v>132</v>
      </c>
      <c r="S39" s="533">
        <f>(J39+K39)/I39*100</f>
        <v>30.76923076923077</v>
      </c>
      <c r="T39" s="571"/>
    </row>
    <row r="40" spans="1:21" s="387" customFormat="1" ht="25.5" customHeight="1">
      <c r="A40" s="455">
        <v>2</v>
      </c>
      <c r="B40" s="456" t="s">
        <v>458</v>
      </c>
      <c r="C40" s="572">
        <f>SUM(C41:C43)</f>
        <v>368</v>
      </c>
      <c r="D40" s="572">
        <f aca="true" t="shared" si="11" ref="D40:Q40">SUM(D41:D43)</f>
        <v>175</v>
      </c>
      <c r="E40" s="572">
        <f t="shared" si="11"/>
        <v>193</v>
      </c>
      <c r="F40" s="572">
        <f t="shared" si="11"/>
        <v>1</v>
      </c>
      <c r="G40" s="572">
        <f t="shared" si="11"/>
        <v>0</v>
      </c>
      <c r="H40" s="572">
        <f t="shared" si="11"/>
        <v>367</v>
      </c>
      <c r="I40" s="572">
        <f t="shared" si="11"/>
        <v>216</v>
      </c>
      <c r="J40" s="572">
        <f t="shared" si="11"/>
        <v>132</v>
      </c>
      <c r="K40" s="572">
        <f t="shared" si="11"/>
        <v>5</v>
      </c>
      <c r="L40" s="572">
        <f t="shared" si="11"/>
        <v>77</v>
      </c>
      <c r="M40" s="572">
        <f t="shared" si="11"/>
        <v>0</v>
      </c>
      <c r="N40" s="572">
        <f t="shared" si="11"/>
        <v>0</v>
      </c>
      <c r="O40" s="572">
        <f t="shared" si="11"/>
        <v>0</v>
      </c>
      <c r="P40" s="572">
        <f t="shared" si="11"/>
        <v>2</v>
      </c>
      <c r="Q40" s="572">
        <f t="shared" si="11"/>
        <v>151</v>
      </c>
      <c r="R40" s="457">
        <f t="shared" si="9"/>
        <v>230</v>
      </c>
      <c r="S40" s="453">
        <f t="shared" si="1"/>
        <v>63.42592592592593</v>
      </c>
      <c r="T40" s="563">
        <f t="shared" si="7"/>
        <v>0</v>
      </c>
      <c r="U40" s="395"/>
    </row>
    <row r="41" spans="1:20" ht="23.25" customHeight="1">
      <c r="A41" s="531">
        <v>2.1</v>
      </c>
      <c r="B41" s="575" t="s">
        <v>459</v>
      </c>
      <c r="C41" s="540">
        <f>D41+E41</f>
        <v>77</v>
      </c>
      <c r="D41" s="540">
        <v>11</v>
      </c>
      <c r="E41" s="540">
        <v>66</v>
      </c>
      <c r="F41" s="540">
        <v>0</v>
      </c>
      <c r="G41" s="540"/>
      <c r="H41" s="540">
        <f>I41+Q41</f>
        <v>77</v>
      </c>
      <c r="I41" s="540">
        <f>J41+K41+L41+M41+N41+O41+P41</f>
        <v>66</v>
      </c>
      <c r="J41" s="540">
        <v>63</v>
      </c>
      <c r="K41" s="540">
        <v>0</v>
      </c>
      <c r="L41" s="540">
        <v>3</v>
      </c>
      <c r="M41" s="540"/>
      <c r="N41" s="540"/>
      <c r="O41" s="540"/>
      <c r="P41" s="541"/>
      <c r="Q41" s="542">
        <v>11</v>
      </c>
      <c r="R41" s="532">
        <f t="shared" si="9"/>
        <v>14</v>
      </c>
      <c r="S41" s="533">
        <f t="shared" si="1"/>
        <v>95.45454545454545</v>
      </c>
      <c r="T41" s="571">
        <f t="shared" si="7"/>
        <v>0</v>
      </c>
    </row>
    <row r="42" spans="1:20" ht="23.25" customHeight="1">
      <c r="A42" s="531">
        <v>2.2</v>
      </c>
      <c r="B42" s="575" t="s">
        <v>460</v>
      </c>
      <c r="C42" s="540">
        <f>D42+E42</f>
        <v>142</v>
      </c>
      <c r="D42" s="540">
        <v>78</v>
      </c>
      <c r="E42" s="540">
        <v>64</v>
      </c>
      <c r="F42" s="540">
        <f>C42-H42</f>
        <v>1</v>
      </c>
      <c r="G42" s="540"/>
      <c r="H42" s="540">
        <f>I42+Q42</f>
        <v>141</v>
      </c>
      <c r="I42" s="540">
        <f>J42+K42+L42+M42+N42+O42+P42</f>
        <v>72</v>
      </c>
      <c r="J42" s="540">
        <v>51</v>
      </c>
      <c r="K42" s="540">
        <v>1</v>
      </c>
      <c r="L42" s="540">
        <v>20</v>
      </c>
      <c r="M42" s="540"/>
      <c r="N42" s="540"/>
      <c r="O42" s="540"/>
      <c r="P42" s="541">
        <v>0</v>
      </c>
      <c r="Q42" s="542">
        <v>69</v>
      </c>
      <c r="R42" s="532">
        <f t="shared" si="9"/>
        <v>89</v>
      </c>
      <c r="S42" s="533">
        <f t="shared" si="1"/>
        <v>72.22222222222221</v>
      </c>
      <c r="T42" s="571">
        <f t="shared" si="7"/>
        <v>0</v>
      </c>
    </row>
    <row r="43" spans="1:20" ht="23.25" customHeight="1">
      <c r="A43" s="531">
        <v>2.3</v>
      </c>
      <c r="B43" s="575" t="s">
        <v>461</v>
      </c>
      <c r="C43" s="540">
        <f>D43+E43</f>
        <v>149</v>
      </c>
      <c r="D43" s="540">
        <v>86</v>
      </c>
      <c r="E43" s="540">
        <v>63</v>
      </c>
      <c r="F43" s="540"/>
      <c r="G43" s="540"/>
      <c r="H43" s="540">
        <f>I43+Q43</f>
        <v>149</v>
      </c>
      <c r="I43" s="540">
        <f>J43+K43+L43+M43+N43+O43+P43</f>
        <v>78</v>
      </c>
      <c r="J43" s="540">
        <v>18</v>
      </c>
      <c r="K43" s="540">
        <v>4</v>
      </c>
      <c r="L43" s="540">
        <v>54</v>
      </c>
      <c r="M43" s="540"/>
      <c r="N43" s="540">
        <v>0</v>
      </c>
      <c r="O43" s="540"/>
      <c r="P43" s="541">
        <v>2</v>
      </c>
      <c r="Q43" s="542">
        <v>71</v>
      </c>
      <c r="R43" s="532">
        <f t="shared" si="9"/>
        <v>127</v>
      </c>
      <c r="S43" s="533">
        <f t="shared" si="1"/>
        <v>28.205128205128204</v>
      </c>
      <c r="T43" s="571">
        <f t="shared" si="7"/>
        <v>0</v>
      </c>
    </row>
    <row r="44" spans="1:21" s="387" customFormat="1" ht="23.25" customHeight="1">
      <c r="A44" s="455">
        <v>3</v>
      </c>
      <c r="B44" s="456" t="s">
        <v>463</v>
      </c>
      <c r="C44" s="572">
        <f>C45+C46</f>
        <v>211</v>
      </c>
      <c r="D44" s="572">
        <f aca="true" t="shared" si="12" ref="D44:Q44">D45+D46</f>
        <v>132</v>
      </c>
      <c r="E44" s="572">
        <f t="shared" si="12"/>
        <v>79</v>
      </c>
      <c r="F44" s="572">
        <f t="shared" si="12"/>
        <v>3</v>
      </c>
      <c r="G44" s="572">
        <f t="shared" si="12"/>
        <v>0</v>
      </c>
      <c r="H44" s="572">
        <f t="shared" si="12"/>
        <v>208</v>
      </c>
      <c r="I44" s="572">
        <f t="shared" si="12"/>
        <v>135</v>
      </c>
      <c r="J44" s="572">
        <f t="shared" si="12"/>
        <v>61</v>
      </c>
      <c r="K44" s="572">
        <f t="shared" si="12"/>
        <v>1</v>
      </c>
      <c r="L44" s="572">
        <f t="shared" si="12"/>
        <v>72</v>
      </c>
      <c r="M44" s="572">
        <f t="shared" si="12"/>
        <v>0</v>
      </c>
      <c r="N44" s="572">
        <f t="shared" si="12"/>
        <v>0</v>
      </c>
      <c r="O44" s="572">
        <f t="shared" si="12"/>
        <v>0</v>
      </c>
      <c r="P44" s="572">
        <f t="shared" si="12"/>
        <v>1</v>
      </c>
      <c r="Q44" s="572">
        <f t="shared" si="12"/>
        <v>73</v>
      </c>
      <c r="R44" s="457">
        <f t="shared" si="9"/>
        <v>146</v>
      </c>
      <c r="S44" s="453">
        <f t="shared" si="1"/>
        <v>45.925925925925924</v>
      </c>
      <c r="T44" s="563">
        <f t="shared" si="7"/>
        <v>0</v>
      </c>
      <c r="U44" s="395"/>
    </row>
    <row r="45" spans="1:20" ht="23.25" customHeight="1">
      <c r="A45" s="531">
        <v>3.1</v>
      </c>
      <c r="B45" s="569" t="s">
        <v>464</v>
      </c>
      <c r="C45" s="540">
        <f>D45+E45</f>
        <v>84</v>
      </c>
      <c r="D45" s="540">
        <v>45</v>
      </c>
      <c r="E45" s="540">
        <v>39</v>
      </c>
      <c r="F45" s="540">
        <v>3</v>
      </c>
      <c r="G45" s="540">
        <v>0</v>
      </c>
      <c r="H45" s="540">
        <f>I45+Q45</f>
        <v>81</v>
      </c>
      <c r="I45" s="540">
        <f>SUM(J45:P45)</f>
        <v>58</v>
      </c>
      <c r="J45" s="540">
        <v>24</v>
      </c>
      <c r="K45" s="540">
        <v>1</v>
      </c>
      <c r="L45" s="540">
        <v>32</v>
      </c>
      <c r="M45" s="540">
        <v>0</v>
      </c>
      <c r="N45" s="540">
        <v>0</v>
      </c>
      <c r="O45" s="540">
        <v>0</v>
      </c>
      <c r="P45" s="541">
        <v>1</v>
      </c>
      <c r="Q45" s="542">
        <v>23</v>
      </c>
      <c r="R45" s="532">
        <f t="shared" si="9"/>
        <v>56</v>
      </c>
      <c r="S45" s="533">
        <f t="shared" si="1"/>
        <v>43.103448275862064</v>
      </c>
      <c r="T45" s="571">
        <f t="shared" si="7"/>
        <v>0</v>
      </c>
    </row>
    <row r="46" spans="1:20" ht="23.25" customHeight="1">
      <c r="A46" s="531">
        <v>3.2</v>
      </c>
      <c r="B46" s="569" t="s">
        <v>465</v>
      </c>
      <c r="C46" s="540">
        <f>D46+E46</f>
        <v>127</v>
      </c>
      <c r="D46" s="540">
        <v>87</v>
      </c>
      <c r="E46" s="540">
        <v>40</v>
      </c>
      <c r="F46" s="540">
        <v>0</v>
      </c>
      <c r="G46" s="540">
        <v>0</v>
      </c>
      <c r="H46" s="540">
        <f>I46+Q46</f>
        <v>127</v>
      </c>
      <c r="I46" s="540">
        <f>SUM(J46:P46)</f>
        <v>77</v>
      </c>
      <c r="J46" s="540">
        <v>37</v>
      </c>
      <c r="K46" s="540">
        <v>0</v>
      </c>
      <c r="L46" s="540">
        <v>40</v>
      </c>
      <c r="M46" s="540">
        <v>0</v>
      </c>
      <c r="N46" s="540">
        <v>0</v>
      </c>
      <c r="O46" s="540">
        <v>0</v>
      </c>
      <c r="P46" s="541">
        <v>0</v>
      </c>
      <c r="Q46" s="542">
        <v>50</v>
      </c>
      <c r="R46" s="532">
        <f t="shared" si="9"/>
        <v>90</v>
      </c>
      <c r="S46" s="533">
        <f t="shared" si="1"/>
        <v>48.05194805194805</v>
      </c>
      <c r="T46" s="571">
        <f t="shared" si="7"/>
        <v>0</v>
      </c>
    </row>
    <row r="47" spans="1:21" s="387" customFormat="1" ht="23.25" customHeight="1">
      <c r="A47" s="455">
        <v>4</v>
      </c>
      <c r="B47" s="456" t="s">
        <v>467</v>
      </c>
      <c r="C47" s="572">
        <f>SUM(C48)</f>
        <v>2</v>
      </c>
      <c r="D47" s="572">
        <f aca="true" t="shared" si="13" ref="D47:R47">SUM(D48)</f>
        <v>0</v>
      </c>
      <c r="E47" s="572">
        <f t="shared" si="13"/>
        <v>2</v>
      </c>
      <c r="F47" s="572">
        <f t="shared" si="13"/>
        <v>0</v>
      </c>
      <c r="G47" s="572">
        <f t="shared" si="13"/>
        <v>0</v>
      </c>
      <c r="H47" s="572">
        <f t="shared" si="13"/>
        <v>2</v>
      </c>
      <c r="I47" s="572">
        <f t="shared" si="13"/>
        <v>2</v>
      </c>
      <c r="J47" s="572">
        <f t="shared" si="13"/>
        <v>2</v>
      </c>
      <c r="K47" s="572">
        <f t="shared" si="13"/>
        <v>0</v>
      </c>
      <c r="L47" s="572">
        <f t="shared" si="13"/>
        <v>0</v>
      </c>
      <c r="M47" s="572">
        <f t="shared" si="13"/>
        <v>0</v>
      </c>
      <c r="N47" s="572">
        <f t="shared" si="13"/>
        <v>0</v>
      </c>
      <c r="O47" s="572">
        <f t="shared" si="13"/>
        <v>0</v>
      </c>
      <c r="P47" s="572">
        <f t="shared" si="13"/>
        <v>0</v>
      </c>
      <c r="Q47" s="572">
        <f t="shared" si="13"/>
        <v>0</v>
      </c>
      <c r="R47" s="452">
        <f t="shared" si="13"/>
        <v>0</v>
      </c>
      <c r="S47" s="453">
        <f t="shared" si="1"/>
        <v>100</v>
      </c>
      <c r="T47" s="563">
        <f t="shared" si="7"/>
        <v>0</v>
      </c>
      <c r="U47" s="395"/>
    </row>
    <row r="48" spans="1:20" ht="23.25" customHeight="1">
      <c r="A48" s="531" t="s">
        <v>111</v>
      </c>
      <c r="B48" s="534" t="s">
        <v>468</v>
      </c>
      <c r="C48" s="570">
        <f>D48+E48</f>
        <v>2</v>
      </c>
      <c r="D48" s="570">
        <v>0</v>
      </c>
      <c r="E48" s="570">
        <v>2</v>
      </c>
      <c r="F48" s="570"/>
      <c r="G48" s="570"/>
      <c r="H48" s="570">
        <f>I48+Q48</f>
        <v>2</v>
      </c>
      <c r="I48" s="570">
        <f>SUM(J48:P48)</f>
        <v>2</v>
      </c>
      <c r="J48" s="570">
        <v>2</v>
      </c>
      <c r="K48" s="570"/>
      <c r="L48" s="576"/>
      <c r="M48" s="576"/>
      <c r="N48" s="576"/>
      <c r="O48" s="577"/>
      <c r="P48" s="577"/>
      <c r="Q48" s="577"/>
      <c r="R48" s="532">
        <f t="shared" si="9"/>
        <v>0</v>
      </c>
      <c r="S48" s="533">
        <f t="shared" si="1"/>
        <v>100</v>
      </c>
      <c r="T48" s="571">
        <f t="shared" si="7"/>
        <v>0</v>
      </c>
    </row>
    <row r="49" spans="1:21" s="387" customFormat="1" ht="23.25" customHeight="1">
      <c r="A49" s="455">
        <v>5</v>
      </c>
      <c r="B49" s="456" t="s">
        <v>469</v>
      </c>
      <c r="C49" s="572">
        <f>SUM(C50:C56)</f>
        <v>2340</v>
      </c>
      <c r="D49" s="572">
        <f aca="true" t="shared" si="14" ref="D49:Q49">SUM(D50:D56)</f>
        <v>1884</v>
      </c>
      <c r="E49" s="572">
        <f t="shared" si="14"/>
        <v>456</v>
      </c>
      <c r="F49" s="572">
        <f t="shared" si="14"/>
        <v>6</v>
      </c>
      <c r="G49" s="572">
        <f t="shared" si="14"/>
        <v>0</v>
      </c>
      <c r="H49" s="572">
        <f t="shared" si="14"/>
        <v>2334</v>
      </c>
      <c r="I49" s="572">
        <f t="shared" si="14"/>
        <v>838</v>
      </c>
      <c r="J49" s="572">
        <f t="shared" si="14"/>
        <v>324</v>
      </c>
      <c r="K49" s="572">
        <f t="shared" si="14"/>
        <v>6</v>
      </c>
      <c r="L49" s="572">
        <f t="shared" si="14"/>
        <v>507</v>
      </c>
      <c r="M49" s="572">
        <f t="shared" si="14"/>
        <v>0</v>
      </c>
      <c r="N49" s="572">
        <f t="shared" si="14"/>
        <v>0</v>
      </c>
      <c r="O49" s="572">
        <f t="shared" si="14"/>
        <v>0</v>
      </c>
      <c r="P49" s="572">
        <f t="shared" si="14"/>
        <v>1</v>
      </c>
      <c r="Q49" s="572">
        <f t="shared" si="14"/>
        <v>1496</v>
      </c>
      <c r="R49" s="457">
        <f t="shared" si="9"/>
        <v>2004</v>
      </c>
      <c r="S49" s="459">
        <f t="shared" si="1"/>
        <v>39.37947494033413</v>
      </c>
      <c r="T49" s="563">
        <f t="shared" si="7"/>
        <v>0</v>
      </c>
      <c r="U49" s="395"/>
    </row>
    <row r="50" spans="1:20" ht="23.25" customHeight="1">
      <c r="A50" s="516" t="s">
        <v>112</v>
      </c>
      <c r="B50" s="578" t="s">
        <v>470</v>
      </c>
      <c r="C50" s="579">
        <v>114</v>
      </c>
      <c r="D50" s="579">
        <v>94</v>
      </c>
      <c r="E50" s="579">
        <v>20</v>
      </c>
      <c r="F50" s="579">
        <v>0</v>
      </c>
      <c r="G50" s="579">
        <v>0</v>
      </c>
      <c r="H50" s="579">
        <v>114</v>
      </c>
      <c r="I50" s="579">
        <v>30</v>
      </c>
      <c r="J50" s="579">
        <v>18</v>
      </c>
      <c r="K50" s="579">
        <v>0</v>
      </c>
      <c r="L50" s="580">
        <v>12</v>
      </c>
      <c r="M50" s="579">
        <v>0</v>
      </c>
      <c r="N50" s="579">
        <v>0</v>
      </c>
      <c r="O50" s="579">
        <v>0</v>
      </c>
      <c r="P50" s="579">
        <v>0</v>
      </c>
      <c r="Q50" s="581">
        <v>84</v>
      </c>
      <c r="R50" s="532">
        <f t="shared" si="9"/>
        <v>96</v>
      </c>
      <c r="S50" s="535">
        <f t="shared" si="1"/>
        <v>60</v>
      </c>
      <c r="T50" s="571">
        <f t="shared" si="7"/>
        <v>0</v>
      </c>
    </row>
    <row r="51" spans="1:20" ht="23.25" customHeight="1">
      <c r="A51" s="516" t="s">
        <v>113</v>
      </c>
      <c r="B51" s="578" t="s">
        <v>471</v>
      </c>
      <c r="C51" s="579">
        <v>300</v>
      </c>
      <c r="D51" s="579">
        <v>222</v>
      </c>
      <c r="E51" s="579">
        <v>78</v>
      </c>
      <c r="F51" s="579">
        <v>0</v>
      </c>
      <c r="G51" s="579">
        <v>0</v>
      </c>
      <c r="H51" s="579">
        <v>300</v>
      </c>
      <c r="I51" s="579">
        <v>145</v>
      </c>
      <c r="J51" s="579">
        <v>51</v>
      </c>
      <c r="K51" s="579">
        <v>0</v>
      </c>
      <c r="L51" s="580">
        <v>93</v>
      </c>
      <c r="M51" s="579">
        <v>0</v>
      </c>
      <c r="N51" s="579">
        <v>0</v>
      </c>
      <c r="O51" s="579">
        <v>0</v>
      </c>
      <c r="P51" s="579">
        <v>1</v>
      </c>
      <c r="Q51" s="581">
        <v>155</v>
      </c>
      <c r="R51" s="532">
        <f t="shared" si="9"/>
        <v>249</v>
      </c>
      <c r="S51" s="535">
        <f t="shared" si="1"/>
        <v>35.172413793103445</v>
      </c>
      <c r="T51" s="571">
        <f t="shared" si="7"/>
        <v>0</v>
      </c>
    </row>
    <row r="52" spans="1:20" ht="23.25" customHeight="1">
      <c r="A52" s="516" t="s">
        <v>114</v>
      </c>
      <c r="B52" s="578" t="s">
        <v>545</v>
      </c>
      <c r="C52" s="579">
        <v>324</v>
      </c>
      <c r="D52" s="579">
        <v>263</v>
      </c>
      <c r="E52" s="579">
        <v>61</v>
      </c>
      <c r="F52" s="579">
        <v>3</v>
      </c>
      <c r="G52" s="579">
        <v>0</v>
      </c>
      <c r="H52" s="579">
        <v>321</v>
      </c>
      <c r="I52" s="579">
        <v>129</v>
      </c>
      <c r="J52" s="579">
        <v>39</v>
      </c>
      <c r="K52" s="579">
        <v>5</v>
      </c>
      <c r="L52" s="580">
        <v>85</v>
      </c>
      <c r="M52" s="579">
        <v>0</v>
      </c>
      <c r="N52" s="579">
        <v>0</v>
      </c>
      <c r="O52" s="579">
        <v>0</v>
      </c>
      <c r="P52" s="579">
        <v>0</v>
      </c>
      <c r="Q52" s="581">
        <v>192</v>
      </c>
      <c r="R52" s="532">
        <f t="shared" si="9"/>
        <v>277</v>
      </c>
      <c r="S52" s="535">
        <f t="shared" si="1"/>
        <v>34.10852713178294</v>
      </c>
      <c r="T52" s="571">
        <f t="shared" si="7"/>
        <v>0</v>
      </c>
    </row>
    <row r="53" spans="1:20" ht="23.25" customHeight="1">
      <c r="A53" s="516" t="s">
        <v>473</v>
      </c>
      <c r="B53" s="578" t="s">
        <v>474</v>
      </c>
      <c r="C53" s="579">
        <v>253</v>
      </c>
      <c r="D53" s="579">
        <v>177</v>
      </c>
      <c r="E53" s="579">
        <v>76</v>
      </c>
      <c r="F53" s="579">
        <v>3</v>
      </c>
      <c r="G53" s="579">
        <v>0</v>
      </c>
      <c r="H53" s="579">
        <v>250</v>
      </c>
      <c r="I53" s="579">
        <v>121</v>
      </c>
      <c r="J53" s="579">
        <v>53</v>
      </c>
      <c r="K53" s="579">
        <v>1</v>
      </c>
      <c r="L53" s="580">
        <v>67</v>
      </c>
      <c r="M53" s="579">
        <v>0</v>
      </c>
      <c r="N53" s="579">
        <v>0</v>
      </c>
      <c r="O53" s="579">
        <v>0</v>
      </c>
      <c r="P53" s="579">
        <v>0</v>
      </c>
      <c r="Q53" s="581">
        <v>129</v>
      </c>
      <c r="R53" s="532">
        <f t="shared" si="9"/>
        <v>196</v>
      </c>
      <c r="S53" s="535">
        <f t="shared" si="1"/>
        <v>44.62809917355372</v>
      </c>
      <c r="T53" s="571">
        <f t="shared" si="7"/>
        <v>0</v>
      </c>
    </row>
    <row r="54" spans="1:20" ht="23.25" customHeight="1">
      <c r="A54" s="516" t="s">
        <v>475</v>
      </c>
      <c r="B54" s="578" t="s">
        <v>476</v>
      </c>
      <c r="C54" s="579">
        <v>439</v>
      </c>
      <c r="D54" s="579">
        <v>381</v>
      </c>
      <c r="E54" s="579">
        <v>58</v>
      </c>
      <c r="F54" s="579">
        <v>0</v>
      </c>
      <c r="G54" s="579">
        <v>0</v>
      </c>
      <c r="H54" s="579">
        <v>439</v>
      </c>
      <c r="I54" s="579">
        <v>116</v>
      </c>
      <c r="J54" s="579">
        <v>44</v>
      </c>
      <c r="K54" s="579">
        <v>0</v>
      </c>
      <c r="L54" s="580">
        <v>72</v>
      </c>
      <c r="M54" s="579">
        <v>0</v>
      </c>
      <c r="N54" s="579">
        <v>0</v>
      </c>
      <c r="O54" s="579">
        <v>0</v>
      </c>
      <c r="P54" s="579">
        <v>0</v>
      </c>
      <c r="Q54" s="581">
        <v>323</v>
      </c>
      <c r="R54" s="532">
        <f t="shared" si="9"/>
        <v>395</v>
      </c>
      <c r="S54" s="535">
        <f t="shared" si="1"/>
        <v>37.93103448275862</v>
      </c>
      <c r="T54" s="571">
        <f t="shared" si="7"/>
        <v>0</v>
      </c>
    </row>
    <row r="55" spans="1:20" ht="23.25" customHeight="1">
      <c r="A55" s="516" t="s">
        <v>477</v>
      </c>
      <c r="B55" s="578" t="s">
        <v>478</v>
      </c>
      <c r="C55" s="579">
        <v>486</v>
      </c>
      <c r="D55" s="579">
        <v>399</v>
      </c>
      <c r="E55" s="579">
        <v>87</v>
      </c>
      <c r="F55" s="579">
        <v>0</v>
      </c>
      <c r="G55" s="579">
        <v>0</v>
      </c>
      <c r="H55" s="579">
        <v>486</v>
      </c>
      <c r="I55" s="579">
        <v>157</v>
      </c>
      <c r="J55" s="579">
        <v>63</v>
      </c>
      <c r="K55" s="579">
        <v>0</v>
      </c>
      <c r="L55" s="580">
        <v>94</v>
      </c>
      <c r="M55" s="579">
        <v>0</v>
      </c>
      <c r="N55" s="579">
        <v>0</v>
      </c>
      <c r="O55" s="579">
        <v>0</v>
      </c>
      <c r="P55" s="579">
        <v>0</v>
      </c>
      <c r="Q55" s="581">
        <v>329</v>
      </c>
      <c r="R55" s="532">
        <f t="shared" si="9"/>
        <v>423</v>
      </c>
      <c r="S55" s="535">
        <f t="shared" si="1"/>
        <v>40.12738853503185</v>
      </c>
      <c r="T55" s="571">
        <f t="shared" si="7"/>
        <v>0</v>
      </c>
    </row>
    <row r="56" spans="1:20" ht="23.25" customHeight="1">
      <c r="A56" s="516" t="s">
        <v>479</v>
      </c>
      <c r="B56" s="578" t="s">
        <v>480</v>
      </c>
      <c r="C56" s="579">
        <v>424</v>
      </c>
      <c r="D56" s="579">
        <v>348</v>
      </c>
      <c r="E56" s="579">
        <v>76</v>
      </c>
      <c r="F56" s="579">
        <v>0</v>
      </c>
      <c r="G56" s="579">
        <v>0</v>
      </c>
      <c r="H56" s="579">
        <v>424</v>
      </c>
      <c r="I56" s="579">
        <v>140</v>
      </c>
      <c r="J56" s="579">
        <v>56</v>
      </c>
      <c r="K56" s="579">
        <v>0</v>
      </c>
      <c r="L56" s="580">
        <v>84</v>
      </c>
      <c r="M56" s="579">
        <v>0</v>
      </c>
      <c r="N56" s="579">
        <v>0</v>
      </c>
      <c r="O56" s="579">
        <v>0</v>
      </c>
      <c r="P56" s="579">
        <v>0</v>
      </c>
      <c r="Q56" s="581">
        <v>284</v>
      </c>
      <c r="R56" s="532">
        <f t="shared" si="9"/>
        <v>368</v>
      </c>
      <c r="S56" s="535">
        <f t="shared" si="1"/>
        <v>40</v>
      </c>
      <c r="T56" s="571">
        <f t="shared" si="7"/>
        <v>0</v>
      </c>
    </row>
    <row r="57" spans="1:21" s="387" customFormat="1" ht="23.25" customHeight="1">
      <c r="A57" s="455">
        <v>6</v>
      </c>
      <c r="B57" s="456" t="s">
        <v>481</v>
      </c>
      <c r="C57" s="572">
        <f>SUM(C58:C62)</f>
        <v>583</v>
      </c>
      <c r="D57" s="572">
        <f aca="true" t="shared" si="15" ref="D57:Q57">SUM(D58:D62)</f>
        <v>357</v>
      </c>
      <c r="E57" s="572">
        <f t="shared" si="15"/>
        <v>226</v>
      </c>
      <c r="F57" s="572">
        <f t="shared" si="15"/>
        <v>6</v>
      </c>
      <c r="G57" s="572">
        <f t="shared" si="15"/>
        <v>0</v>
      </c>
      <c r="H57" s="572">
        <f t="shared" si="15"/>
        <v>577</v>
      </c>
      <c r="I57" s="572">
        <f t="shared" si="15"/>
        <v>308</v>
      </c>
      <c r="J57" s="572">
        <f t="shared" si="15"/>
        <v>140</v>
      </c>
      <c r="K57" s="572">
        <f t="shared" si="15"/>
        <v>5</v>
      </c>
      <c r="L57" s="572">
        <f t="shared" si="15"/>
        <v>162</v>
      </c>
      <c r="M57" s="572">
        <f t="shared" si="15"/>
        <v>1</v>
      </c>
      <c r="N57" s="572">
        <f t="shared" si="15"/>
        <v>0</v>
      </c>
      <c r="O57" s="572">
        <f t="shared" si="15"/>
        <v>0</v>
      </c>
      <c r="P57" s="572">
        <f t="shared" si="15"/>
        <v>0</v>
      </c>
      <c r="Q57" s="572">
        <f t="shared" si="15"/>
        <v>269</v>
      </c>
      <c r="R57" s="460">
        <f>SUM(R58:R62)</f>
        <v>432</v>
      </c>
      <c r="S57" s="453">
        <f t="shared" si="1"/>
        <v>47.07792207792208</v>
      </c>
      <c r="T57" s="563">
        <f t="shared" si="7"/>
        <v>0</v>
      </c>
      <c r="U57" s="395"/>
    </row>
    <row r="58" spans="1:20" ht="23.25" customHeight="1">
      <c r="A58" s="531" t="s">
        <v>564</v>
      </c>
      <c r="B58" s="582" t="s">
        <v>570</v>
      </c>
      <c r="C58" s="583">
        <f>D58+E58</f>
        <v>80</v>
      </c>
      <c r="D58" s="583">
        <v>35</v>
      </c>
      <c r="E58" s="583">
        <v>45</v>
      </c>
      <c r="F58" s="583">
        <v>2</v>
      </c>
      <c r="G58" s="584"/>
      <c r="H58" s="583">
        <f>I58+Q58</f>
        <v>78</v>
      </c>
      <c r="I58" s="583">
        <f>SUM(J58:P58)</f>
        <v>66</v>
      </c>
      <c r="J58" s="583">
        <v>27</v>
      </c>
      <c r="K58" s="583">
        <v>1</v>
      </c>
      <c r="L58" s="583">
        <v>38</v>
      </c>
      <c r="M58" s="583"/>
      <c r="N58" s="583"/>
      <c r="O58" s="583"/>
      <c r="P58" s="583"/>
      <c r="Q58" s="583">
        <v>12</v>
      </c>
      <c r="R58" s="532">
        <f t="shared" si="9"/>
        <v>50</v>
      </c>
      <c r="S58" s="533">
        <f t="shared" si="1"/>
        <v>42.42424242424242</v>
      </c>
      <c r="T58" s="571">
        <f t="shared" si="7"/>
        <v>0</v>
      </c>
    </row>
    <row r="59" spans="1:20" ht="23.25" customHeight="1">
      <c r="A59" s="531" t="s">
        <v>565</v>
      </c>
      <c r="B59" s="582" t="s">
        <v>571</v>
      </c>
      <c r="C59" s="583">
        <f>D59+E59</f>
        <v>82</v>
      </c>
      <c r="D59" s="583">
        <v>58</v>
      </c>
      <c r="E59" s="583">
        <v>24</v>
      </c>
      <c r="F59" s="583">
        <v>2</v>
      </c>
      <c r="G59" s="583"/>
      <c r="H59" s="583">
        <f>I59+Q59</f>
        <v>80</v>
      </c>
      <c r="I59" s="583">
        <f>SUM(J59:P59)</f>
        <v>31</v>
      </c>
      <c r="J59" s="583">
        <v>14</v>
      </c>
      <c r="K59" s="583"/>
      <c r="L59" s="583">
        <v>17</v>
      </c>
      <c r="M59" s="583"/>
      <c r="N59" s="583"/>
      <c r="O59" s="583"/>
      <c r="P59" s="583"/>
      <c r="Q59" s="583">
        <v>49</v>
      </c>
      <c r="R59" s="532">
        <f t="shared" si="9"/>
        <v>66</v>
      </c>
      <c r="S59" s="533">
        <f t="shared" si="1"/>
        <v>45.16129032258064</v>
      </c>
      <c r="T59" s="571">
        <f t="shared" si="7"/>
        <v>0</v>
      </c>
    </row>
    <row r="60" spans="1:20" ht="23.25" customHeight="1">
      <c r="A60" s="531" t="s">
        <v>566</v>
      </c>
      <c r="B60" s="582" t="s">
        <v>484</v>
      </c>
      <c r="C60" s="583">
        <f>D60+E60</f>
        <v>174</v>
      </c>
      <c r="D60" s="583">
        <v>110</v>
      </c>
      <c r="E60" s="583">
        <v>64</v>
      </c>
      <c r="F60" s="583">
        <v>1</v>
      </c>
      <c r="G60" s="583"/>
      <c r="H60" s="583">
        <f>I60+Q60</f>
        <v>173</v>
      </c>
      <c r="I60" s="583">
        <f>SUM(J60:P60)</f>
        <v>91</v>
      </c>
      <c r="J60" s="583">
        <v>39</v>
      </c>
      <c r="K60" s="583">
        <v>1</v>
      </c>
      <c r="L60" s="583">
        <v>50</v>
      </c>
      <c r="M60" s="583">
        <v>1</v>
      </c>
      <c r="N60" s="583"/>
      <c r="O60" s="583"/>
      <c r="P60" s="583"/>
      <c r="Q60" s="583">
        <v>82</v>
      </c>
      <c r="R60" s="532">
        <f t="shared" si="9"/>
        <v>133</v>
      </c>
      <c r="S60" s="533">
        <f t="shared" si="1"/>
        <v>43.956043956043956</v>
      </c>
      <c r="T60" s="571">
        <f t="shared" si="7"/>
        <v>0</v>
      </c>
    </row>
    <row r="61" spans="1:20" ht="23.25" customHeight="1">
      <c r="A61" s="531" t="s">
        <v>567</v>
      </c>
      <c r="B61" s="582" t="s">
        <v>572</v>
      </c>
      <c r="C61" s="583">
        <f>D61+E61</f>
        <v>135</v>
      </c>
      <c r="D61" s="583">
        <v>81</v>
      </c>
      <c r="E61" s="583">
        <v>54</v>
      </c>
      <c r="F61" s="583">
        <v>1</v>
      </c>
      <c r="G61" s="583"/>
      <c r="H61" s="583">
        <f>I61+Q61</f>
        <v>134</v>
      </c>
      <c r="I61" s="583">
        <f>SUM(J61:P61)</f>
        <v>72</v>
      </c>
      <c r="J61" s="583">
        <v>35</v>
      </c>
      <c r="K61" s="583">
        <v>2</v>
      </c>
      <c r="L61" s="583">
        <v>35</v>
      </c>
      <c r="M61" s="583"/>
      <c r="N61" s="583"/>
      <c r="O61" s="583"/>
      <c r="P61" s="583"/>
      <c r="Q61" s="583">
        <v>62</v>
      </c>
      <c r="R61" s="532">
        <f t="shared" si="9"/>
        <v>97</v>
      </c>
      <c r="S61" s="533">
        <f t="shared" si="1"/>
        <v>51.388888888888886</v>
      </c>
      <c r="T61" s="571">
        <f t="shared" si="7"/>
        <v>0</v>
      </c>
    </row>
    <row r="62" spans="1:20" ht="23.25" customHeight="1">
      <c r="A62" s="531" t="s">
        <v>568</v>
      </c>
      <c r="B62" s="582" t="s">
        <v>546</v>
      </c>
      <c r="C62" s="583">
        <f>D62+E62</f>
        <v>112</v>
      </c>
      <c r="D62" s="583">
        <v>73</v>
      </c>
      <c r="E62" s="583">
        <v>39</v>
      </c>
      <c r="F62" s="583"/>
      <c r="G62" s="583"/>
      <c r="H62" s="583">
        <f>I62+Q62</f>
        <v>112</v>
      </c>
      <c r="I62" s="583">
        <f>SUM(J62:P62)</f>
        <v>48</v>
      </c>
      <c r="J62" s="583">
        <v>25</v>
      </c>
      <c r="K62" s="583">
        <v>1</v>
      </c>
      <c r="L62" s="583">
        <v>22</v>
      </c>
      <c r="M62" s="583"/>
      <c r="N62" s="583"/>
      <c r="O62" s="583"/>
      <c r="P62" s="583"/>
      <c r="Q62" s="583">
        <v>64</v>
      </c>
      <c r="R62" s="532">
        <f t="shared" si="9"/>
        <v>86</v>
      </c>
      <c r="S62" s="533">
        <f t="shared" si="1"/>
        <v>54.166666666666664</v>
      </c>
      <c r="T62" s="571">
        <f t="shared" si="7"/>
        <v>0</v>
      </c>
    </row>
    <row r="63" spans="1:21" s="387" customFormat="1" ht="23.25" customHeight="1">
      <c r="A63" s="455">
        <v>7</v>
      </c>
      <c r="B63" s="585" t="s">
        <v>486</v>
      </c>
      <c r="C63" s="572">
        <f>SUM(C64:C71)</f>
        <v>860</v>
      </c>
      <c r="D63" s="572">
        <f aca="true" t="shared" si="16" ref="D63:Q63">SUM(D64:D71)</f>
        <v>602</v>
      </c>
      <c r="E63" s="572">
        <f t="shared" si="16"/>
        <v>258</v>
      </c>
      <c r="F63" s="572">
        <f t="shared" si="16"/>
        <v>3</v>
      </c>
      <c r="G63" s="572">
        <f t="shared" si="16"/>
        <v>2</v>
      </c>
      <c r="H63" s="572">
        <f t="shared" si="16"/>
        <v>857</v>
      </c>
      <c r="I63" s="572">
        <f t="shared" si="16"/>
        <v>389</v>
      </c>
      <c r="J63" s="572">
        <f t="shared" si="16"/>
        <v>190</v>
      </c>
      <c r="K63" s="572">
        <f t="shared" si="16"/>
        <v>6</v>
      </c>
      <c r="L63" s="572">
        <f t="shared" si="16"/>
        <v>190</v>
      </c>
      <c r="M63" s="572">
        <f t="shared" si="16"/>
        <v>0</v>
      </c>
      <c r="N63" s="572">
        <f t="shared" si="16"/>
        <v>0</v>
      </c>
      <c r="O63" s="572">
        <f t="shared" si="16"/>
        <v>0</v>
      </c>
      <c r="P63" s="572">
        <f t="shared" si="16"/>
        <v>3</v>
      </c>
      <c r="Q63" s="572">
        <f t="shared" si="16"/>
        <v>468</v>
      </c>
      <c r="R63" s="457">
        <f t="shared" si="9"/>
        <v>661</v>
      </c>
      <c r="S63" s="453">
        <f t="shared" si="1"/>
        <v>50.38560411311054</v>
      </c>
      <c r="T63" s="563">
        <f t="shared" si="7"/>
        <v>0</v>
      </c>
      <c r="U63" s="395"/>
    </row>
    <row r="64" spans="1:20" ht="23.25" customHeight="1">
      <c r="A64" s="516" t="s">
        <v>558</v>
      </c>
      <c r="B64" s="539" t="s">
        <v>487</v>
      </c>
      <c r="C64" s="540">
        <f aca="true" t="shared" si="17" ref="C64:C71">D64+E64</f>
        <v>36</v>
      </c>
      <c r="D64" s="540">
        <v>11</v>
      </c>
      <c r="E64" s="540">
        <v>25</v>
      </c>
      <c r="F64" s="540">
        <v>0</v>
      </c>
      <c r="G64" s="540"/>
      <c r="H64" s="540">
        <f aca="true" t="shared" si="18" ref="H64:H71">I64+Q64</f>
        <v>36</v>
      </c>
      <c r="I64" s="540">
        <f aca="true" t="shared" si="19" ref="I64:I71">SUM(J64:P64)</f>
        <v>33</v>
      </c>
      <c r="J64" s="540">
        <v>18</v>
      </c>
      <c r="K64" s="540">
        <v>0</v>
      </c>
      <c r="L64" s="540">
        <v>15</v>
      </c>
      <c r="M64" s="540"/>
      <c r="N64" s="540"/>
      <c r="O64" s="540"/>
      <c r="P64" s="541"/>
      <c r="Q64" s="542">
        <v>3</v>
      </c>
      <c r="R64" s="532">
        <f t="shared" si="9"/>
        <v>18</v>
      </c>
      <c r="S64" s="533">
        <f t="shared" si="1"/>
        <v>54.54545454545454</v>
      </c>
      <c r="T64" s="571">
        <f t="shared" si="7"/>
        <v>0</v>
      </c>
    </row>
    <row r="65" spans="1:20" ht="23.25" customHeight="1">
      <c r="A65" s="516" t="s">
        <v>559</v>
      </c>
      <c r="B65" s="539" t="s">
        <v>488</v>
      </c>
      <c r="C65" s="540">
        <f t="shared" si="17"/>
        <v>129</v>
      </c>
      <c r="D65" s="586">
        <v>86</v>
      </c>
      <c r="E65" s="586">
        <f>38+5</f>
        <v>43</v>
      </c>
      <c r="F65" s="586">
        <v>0</v>
      </c>
      <c r="G65" s="586">
        <v>0</v>
      </c>
      <c r="H65" s="540">
        <f t="shared" si="18"/>
        <v>129</v>
      </c>
      <c r="I65" s="540">
        <f t="shared" si="19"/>
        <v>71</v>
      </c>
      <c r="J65" s="586">
        <f>23+8</f>
        <v>31</v>
      </c>
      <c r="K65" s="586">
        <v>0</v>
      </c>
      <c r="L65" s="586">
        <f>40-3</f>
        <v>37</v>
      </c>
      <c r="M65" s="586">
        <v>0</v>
      </c>
      <c r="N65" s="586">
        <v>0</v>
      </c>
      <c r="O65" s="586">
        <v>0</v>
      </c>
      <c r="P65" s="587">
        <v>3</v>
      </c>
      <c r="Q65" s="588">
        <v>58</v>
      </c>
      <c r="R65" s="532">
        <f t="shared" si="9"/>
        <v>98</v>
      </c>
      <c r="S65" s="533">
        <f t="shared" si="1"/>
        <v>43.66197183098591</v>
      </c>
      <c r="T65" s="571">
        <f t="shared" si="7"/>
        <v>0</v>
      </c>
    </row>
    <row r="66" spans="1:20" ht="23.25" customHeight="1">
      <c r="A66" s="516" t="s">
        <v>560</v>
      </c>
      <c r="B66" s="539" t="s">
        <v>547</v>
      </c>
      <c r="C66" s="540">
        <f t="shared" si="17"/>
        <v>159</v>
      </c>
      <c r="D66" s="540">
        <v>125</v>
      </c>
      <c r="E66" s="540">
        <v>34</v>
      </c>
      <c r="F66" s="540">
        <v>1</v>
      </c>
      <c r="G66" s="540"/>
      <c r="H66" s="540">
        <f t="shared" si="18"/>
        <v>158</v>
      </c>
      <c r="I66" s="540">
        <f t="shared" si="19"/>
        <v>68</v>
      </c>
      <c r="J66" s="540">
        <f>20+3</f>
        <v>23</v>
      </c>
      <c r="K66" s="540">
        <v>2</v>
      </c>
      <c r="L66" s="540">
        <v>43</v>
      </c>
      <c r="M66" s="540"/>
      <c r="N66" s="540"/>
      <c r="O66" s="540"/>
      <c r="P66" s="541">
        <v>0</v>
      </c>
      <c r="Q66" s="542">
        <v>90</v>
      </c>
      <c r="R66" s="532">
        <f t="shared" si="9"/>
        <v>133</v>
      </c>
      <c r="S66" s="533">
        <f t="shared" si="1"/>
        <v>36.76470588235294</v>
      </c>
      <c r="T66" s="571">
        <f t="shared" si="7"/>
        <v>0</v>
      </c>
    </row>
    <row r="67" spans="1:20" ht="23.25" customHeight="1">
      <c r="A67" s="516" t="s">
        <v>561</v>
      </c>
      <c r="B67" s="539" t="s">
        <v>490</v>
      </c>
      <c r="C67" s="540">
        <f t="shared" si="17"/>
        <v>118</v>
      </c>
      <c r="D67" s="540">
        <v>80</v>
      </c>
      <c r="E67" s="540">
        <v>38</v>
      </c>
      <c r="F67" s="540">
        <v>2</v>
      </c>
      <c r="G67" s="540">
        <v>0</v>
      </c>
      <c r="H67" s="540">
        <f t="shared" si="18"/>
        <v>116</v>
      </c>
      <c r="I67" s="540">
        <f t="shared" si="19"/>
        <v>62</v>
      </c>
      <c r="J67" s="540">
        <v>28</v>
      </c>
      <c r="K67" s="540">
        <v>1</v>
      </c>
      <c r="L67" s="540">
        <v>33</v>
      </c>
      <c r="M67" s="540"/>
      <c r="N67" s="540"/>
      <c r="O67" s="540"/>
      <c r="P67" s="541">
        <v>0</v>
      </c>
      <c r="Q67" s="542">
        <v>54</v>
      </c>
      <c r="R67" s="532">
        <f t="shared" si="9"/>
        <v>87</v>
      </c>
      <c r="S67" s="533">
        <f t="shared" si="1"/>
        <v>46.774193548387096</v>
      </c>
      <c r="T67" s="571">
        <f t="shared" si="7"/>
        <v>0</v>
      </c>
    </row>
    <row r="68" spans="1:20" ht="23.25" customHeight="1">
      <c r="A68" s="516" t="s">
        <v>562</v>
      </c>
      <c r="B68" s="539" t="s">
        <v>491</v>
      </c>
      <c r="C68" s="540">
        <f t="shared" si="17"/>
        <v>89</v>
      </c>
      <c r="D68" s="540">
        <v>58</v>
      </c>
      <c r="E68" s="540">
        <v>31</v>
      </c>
      <c r="F68" s="540">
        <v>0</v>
      </c>
      <c r="G68" s="540"/>
      <c r="H68" s="540">
        <f t="shared" si="18"/>
        <v>89</v>
      </c>
      <c r="I68" s="540">
        <f t="shared" si="19"/>
        <v>36</v>
      </c>
      <c r="J68" s="540">
        <f>22+3</f>
        <v>25</v>
      </c>
      <c r="K68" s="540">
        <v>2</v>
      </c>
      <c r="L68" s="540">
        <v>9</v>
      </c>
      <c r="M68" s="540"/>
      <c r="N68" s="540"/>
      <c r="O68" s="540"/>
      <c r="P68" s="541">
        <v>0</v>
      </c>
      <c r="Q68" s="542">
        <v>53</v>
      </c>
      <c r="R68" s="532">
        <f t="shared" si="9"/>
        <v>62</v>
      </c>
      <c r="S68" s="533">
        <f t="shared" si="1"/>
        <v>75</v>
      </c>
      <c r="T68" s="571">
        <f t="shared" si="7"/>
        <v>0</v>
      </c>
    </row>
    <row r="69" spans="1:20" ht="23.25" customHeight="1">
      <c r="A69" s="516" t="s">
        <v>563</v>
      </c>
      <c r="B69" s="539" t="s">
        <v>492</v>
      </c>
      <c r="C69" s="540">
        <f t="shared" si="17"/>
        <v>133</v>
      </c>
      <c r="D69" s="540">
        <v>96</v>
      </c>
      <c r="E69" s="540">
        <v>37</v>
      </c>
      <c r="F69" s="540">
        <v>0</v>
      </c>
      <c r="G69" s="540">
        <v>2</v>
      </c>
      <c r="H69" s="540">
        <f t="shared" si="18"/>
        <v>133</v>
      </c>
      <c r="I69" s="540">
        <f t="shared" si="19"/>
        <v>59</v>
      </c>
      <c r="J69" s="540">
        <f>25+3</f>
        <v>28</v>
      </c>
      <c r="K69" s="540">
        <v>1</v>
      </c>
      <c r="L69" s="540">
        <f>34+2-3-3</f>
        <v>30</v>
      </c>
      <c r="M69" s="540"/>
      <c r="N69" s="540"/>
      <c r="O69" s="540"/>
      <c r="P69" s="541">
        <v>0</v>
      </c>
      <c r="Q69" s="542">
        <v>74</v>
      </c>
      <c r="R69" s="532">
        <f t="shared" si="9"/>
        <v>104</v>
      </c>
      <c r="S69" s="533">
        <f t="shared" si="1"/>
        <v>49.152542372881356</v>
      </c>
      <c r="T69" s="571">
        <f t="shared" si="7"/>
        <v>0</v>
      </c>
    </row>
    <row r="70" spans="1:20" ht="23.25" customHeight="1">
      <c r="A70" s="516" t="s">
        <v>615</v>
      </c>
      <c r="B70" s="507" t="s">
        <v>613</v>
      </c>
      <c r="C70" s="540">
        <f t="shared" si="17"/>
        <v>87</v>
      </c>
      <c r="D70" s="540">
        <v>60</v>
      </c>
      <c r="E70" s="540">
        <v>27</v>
      </c>
      <c r="F70" s="540">
        <v>0</v>
      </c>
      <c r="G70" s="540">
        <v>0</v>
      </c>
      <c r="H70" s="540">
        <f t="shared" si="18"/>
        <v>87</v>
      </c>
      <c r="I70" s="540">
        <f t="shared" si="19"/>
        <v>38</v>
      </c>
      <c r="J70" s="540">
        <v>18</v>
      </c>
      <c r="K70" s="540">
        <v>0</v>
      </c>
      <c r="L70" s="540">
        <v>20</v>
      </c>
      <c r="M70" s="540">
        <v>0</v>
      </c>
      <c r="N70" s="540">
        <v>0</v>
      </c>
      <c r="O70" s="540">
        <v>0</v>
      </c>
      <c r="P70" s="541">
        <v>0</v>
      </c>
      <c r="Q70" s="542">
        <v>49</v>
      </c>
      <c r="R70" s="532">
        <f>SUM(L70:Q70)</f>
        <v>69</v>
      </c>
      <c r="S70" s="533">
        <f>(J70+K70)/I70*100</f>
        <v>47.368421052631575</v>
      </c>
      <c r="T70" s="571"/>
    </row>
    <row r="71" spans="1:20" ht="23.25" customHeight="1">
      <c r="A71" s="516" t="s">
        <v>616</v>
      </c>
      <c r="B71" s="507" t="s">
        <v>614</v>
      </c>
      <c r="C71" s="540">
        <f t="shared" si="17"/>
        <v>109</v>
      </c>
      <c r="D71" s="540">
        <v>86</v>
      </c>
      <c r="E71" s="540">
        <f>10+13</f>
        <v>23</v>
      </c>
      <c r="F71" s="540">
        <v>0</v>
      </c>
      <c r="G71" s="540">
        <v>0</v>
      </c>
      <c r="H71" s="540">
        <f t="shared" si="18"/>
        <v>109</v>
      </c>
      <c r="I71" s="540">
        <f t="shared" si="19"/>
        <v>22</v>
      </c>
      <c r="J71" s="540">
        <f>7+12</f>
        <v>19</v>
      </c>
      <c r="K71" s="540">
        <v>0</v>
      </c>
      <c r="L71" s="540">
        <v>3</v>
      </c>
      <c r="M71" s="540">
        <v>0</v>
      </c>
      <c r="N71" s="540">
        <v>0</v>
      </c>
      <c r="O71" s="540">
        <v>0</v>
      </c>
      <c r="P71" s="541">
        <v>0</v>
      </c>
      <c r="Q71" s="542">
        <v>87</v>
      </c>
      <c r="R71" s="532">
        <f>SUM(L71:Q71)</f>
        <v>90</v>
      </c>
      <c r="S71" s="533">
        <f>(J71+K71)/I71*100</f>
        <v>86.36363636363636</v>
      </c>
      <c r="T71" s="571"/>
    </row>
    <row r="72" spans="1:21" s="387" customFormat="1" ht="23.25" customHeight="1">
      <c r="A72" s="455">
        <v>8</v>
      </c>
      <c r="B72" s="456" t="s">
        <v>493</v>
      </c>
      <c r="C72" s="572">
        <f>SUM(C73:C75)</f>
        <v>458</v>
      </c>
      <c r="D72" s="572">
        <f aca="true" t="shared" si="20" ref="D72:Q72">SUM(D73:D75)</f>
        <v>253</v>
      </c>
      <c r="E72" s="572">
        <f t="shared" si="20"/>
        <v>205</v>
      </c>
      <c r="F72" s="572">
        <f t="shared" si="20"/>
        <v>0</v>
      </c>
      <c r="G72" s="572">
        <f t="shared" si="20"/>
        <v>0</v>
      </c>
      <c r="H72" s="572">
        <f t="shared" si="20"/>
        <v>458</v>
      </c>
      <c r="I72" s="572">
        <f t="shared" si="20"/>
        <v>243</v>
      </c>
      <c r="J72" s="572">
        <f t="shared" si="20"/>
        <v>102</v>
      </c>
      <c r="K72" s="572">
        <f t="shared" si="20"/>
        <v>1</v>
      </c>
      <c r="L72" s="572">
        <f t="shared" si="20"/>
        <v>139</v>
      </c>
      <c r="M72" s="572">
        <f t="shared" si="20"/>
        <v>0</v>
      </c>
      <c r="N72" s="572">
        <f t="shared" si="20"/>
        <v>1</v>
      </c>
      <c r="O72" s="572">
        <f t="shared" si="20"/>
        <v>0</v>
      </c>
      <c r="P72" s="572">
        <f t="shared" si="20"/>
        <v>0</v>
      </c>
      <c r="Q72" s="572">
        <f t="shared" si="20"/>
        <v>215</v>
      </c>
      <c r="R72" s="457">
        <f t="shared" si="9"/>
        <v>355</v>
      </c>
      <c r="S72" s="453">
        <f t="shared" si="1"/>
        <v>42.38683127572017</v>
      </c>
      <c r="T72" s="563">
        <f t="shared" si="7"/>
        <v>0</v>
      </c>
      <c r="U72" s="395"/>
    </row>
    <row r="73" spans="1:20" ht="23.25" customHeight="1">
      <c r="A73" s="516" t="s">
        <v>494</v>
      </c>
      <c r="B73" s="534" t="s">
        <v>495</v>
      </c>
      <c r="C73" s="583">
        <f>D73+E73</f>
        <v>144</v>
      </c>
      <c r="D73" s="583">
        <v>56</v>
      </c>
      <c r="E73" s="583">
        <v>88</v>
      </c>
      <c r="F73" s="583">
        <v>0</v>
      </c>
      <c r="G73" s="583">
        <v>0</v>
      </c>
      <c r="H73" s="583">
        <f>I73+Q73</f>
        <v>144</v>
      </c>
      <c r="I73" s="583">
        <f>J73+K73+L73+M73+N73+O73+P73</f>
        <v>98</v>
      </c>
      <c r="J73" s="583">
        <v>40</v>
      </c>
      <c r="K73" s="583">
        <v>0</v>
      </c>
      <c r="L73" s="583">
        <v>58</v>
      </c>
      <c r="M73" s="583"/>
      <c r="N73" s="583"/>
      <c r="O73" s="583"/>
      <c r="P73" s="583"/>
      <c r="Q73" s="583">
        <v>46</v>
      </c>
      <c r="R73" s="532">
        <f t="shared" si="9"/>
        <v>104</v>
      </c>
      <c r="S73" s="533">
        <f t="shared" si="1"/>
        <v>40.816326530612244</v>
      </c>
      <c r="T73" s="571">
        <f t="shared" si="7"/>
        <v>0</v>
      </c>
    </row>
    <row r="74" spans="1:20" ht="23.25" customHeight="1">
      <c r="A74" s="516" t="s">
        <v>496</v>
      </c>
      <c r="B74" s="534" t="s">
        <v>497</v>
      </c>
      <c r="C74" s="583">
        <f>D74+E74</f>
        <v>124</v>
      </c>
      <c r="D74" s="583">
        <v>73</v>
      </c>
      <c r="E74" s="583">
        <v>51</v>
      </c>
      <c r="F74" s="583">
        <v>0</v>
      </c>
      <c r="G74" s="583">
        <v>0</v>
      </c>
      <c r="H74" s="583">
        <f>I74+Q74</f>
        <v>124</v>
      </c>
      <c r="I74" s="583">
        <f>J74+K74+L74+M74+N74+O74+P74</f>
        <v>62</v>
      </c>
      <c r="J74" s="583">
        <v>29</v>
      </c>
      <c r="K74" s="583">
        <v>1</v>
      </c>
      <c r="L74" s="583">
        <v>31</v>
      </c>
      <c r="M74" s="583"/>
      <c r="N74" s="583">
        <v>1</v>
      </c>
      <c r="O74" s="583"/>
      <c r="P74" s="583"/>
      <c r="Q74" s="583">
        <v>62</v>
      </c>
      <c r="R74" s="532">
        <f t="shared" si="9"/>
        <v>94</v>
      </c>
      <c r="S74" s="533">
        <f t="shared" si="1"/>
        <v>48.38709677419355</v>
      </c>
      <c r="T74" s="571">
        <f t="shared" si="7"/>
        <v>0</v>
      </c>
    </row>
    <row r="75" spans="1:20" ht="23.25" customHeight="1">
      <c r="A75" s="516" t="s">
        <v>548</v>
      </c>
      <c r="B75" s="534" t="s">
        <v>489</v>
      </c>
      <c r="C75" s="583">
        <f>D75+E75</f>
        <v>190</v>
      </c>
      <c r="D75" s="583">
        <v>124</v>
      </c>
      <c r="E75" s="583">
        <v>66</v>
      </c>
      <c r="F75" s="583">
        <v>0</v>
      </c>
      <c r="G75" s="583"/>
      <c r="H75" s="583">
        <f>I75+Q75</f>
        <v>190</v>
      </c>
      <c r="I75" s="583">
        <f>J75+K75+L75+M75+N75+O75+P75</f>
        <v>83</v>
      </c>
      <c r="J75" s="583">
        <v>33</v>
      </c>
      <c r="K75" s="583">
        <v>0</v>
      </c>
      <c r="L75" s="583">
        <v>50</v>
      </c>
      <c r="M75" s="583"/>
      <c r="N75" s="583"/>
      <c r="O75" s="583"/>
      <c r="P75" s="583"/>
      <c r="Q75" s="583">
        <v>107</v>
      </c>
      <c r="R75" s="532">
        <f t="shared" si="9"/>
        <v>157</v>
      </c>
      <c r="S75" s="533">
        <f t="shared" si="1"/>
        <v>39.75903614457831</v>
      </c>
      <c r="T75" s="571">
        <f t="shared" si="7"/>
        <v>0</v>
      </c>
    </row>
    <row r="76" spans="1:21" s="387" customFormat="1" ht="23.25" customHeight="1">
      <c r="A76" s="455">
        <v>9</v>
      </c>
      <c r="B76" s="456" t="s">
        <v>498</v>
      </c>
      <c r="C76" s="572">
        <f>SUM(C77:C79)</f>
        <v>334</v>
      </c>
      <c r="D76" s="572">
        <f aca="true" t="shared" si="21" ref="D76:Q76">SUM(D77:D79)</f>
        <v>194</v>
      </c>
      <c r="E76" s="572">
        <f t="shared" si="21"/>
        <v>140</v>
      </c>
      <c r="F76" s="572">
        <f t="shared" si="21"/>
        <v>2</v>
      </c>
      <c r="G76" s="572">
        <f t="shared" si="21"/>
        <v>0</v>
      </c>
      <c r="H76" s="572">
        <f t="shared" si="21"/>
        <v>332</v>
      </c>
      <c r="I76" s="572">
        <f t="shared" si="21"/>
        <v>204</v>
      </c>
      <c r="J76" s="572">
        <f t="shared" si="21"/>
        <v>91</v>
      </c>
      <c r="K76" s="572">
        <f t="shared" si="21"/>
        <v>6</v>
      </c>
      <c r="L76" s="572">
        <f t="shared" si="21"/>
        <v>107</v>
      </c>
      <c r="M76" s="572">
        <f t="shared" si="21"/>
        <v>0</v>
      </c>
      <c r="N76" s="572">
        <f t="shared" si="21"/>
        <v>0</v>
      </c>
      <c r="O76" s="572">
        <f t="shared" si="21"/>
        <v>0</v>
      </c>
      <c r="P76" s="572">
        <f t="shared" si="21"/>
        <v>0</v>
      </c>
      <c r="Q76" s="572">
        <f t="shared" si="21"/>
        <v>128</v>
      </c>
      <c r="R76" s="457">
        <f t="shared" si="9"/>
        <v>235</v>
      </c>
      <c r="S76" s="453">
        <f t="shared" si="1"/>
        <v>47.549019607843135</v>
      </c>
      <c r="T76" s="563">
        <f t="shared" si="7"/>
        <v>0</v>
      </c>
      <c r="U76" s="395"/>
    </row>
    <row r="77" spans="1:20" ht="23.25" customHeight="1">
      <c r="A77" s="516" t="s">
        <v>499</v>
      </c>
      <c r="B77" s="575" t="s">
        <v>617</v>
      </c>
      <c r="C77" s="574">
        <v>95</v>
      </c>
      <c r="D77" s="574">
        <v>48</v>
      </c>
      <c r="E77" s="574">
        <v>47</v>
      </c>
      <c r="F77" s="574">
        <v>2</v>
      </c>
      <c r="G77" s="574">
        <v>0</v>
      </c>
      <c r="H77" s="574">
        <v>93</v>
      </c>
      <c r="I77" s="574">
        <v>52</v>
      </c>
      <c r="J77" s="574">
        <v>34</v>
      </c>
      <c r="K77" s="574">
        <v>3</v>
      </c>
      <c r="L77" s="574">
        <v>15</v>
      </c>
      <c r="M77" s="574">
        <v>0</v>
      </c>
      <c r="N77" s="574">
        <v>0</v>
      </c>
      <c r="O77" s="574">
        <v>0</v>
      </c>
      <c r="P77" s="589">
        <v>0</v>
      </c>
      <c r="Q77" s="590">
        <v>41</v>
      </c>
      <c r="R77" s="532">
        <f t="shared" si="9"/>
        <v>56</v>
      </c>
      <c r="S77" s="533">
        <f t="shared" si="1"/>
        <v>71.15384615384616</v>
      </c>
      <c r="T77" s="571">
        <f t="shared" si="7"/>
        <v>0</v>
      </c>
    </row>
    <row r="78" spans="1:20" ht="23.25" customHeight="1">
      <c r="A78" s="516" t="s">
        <v>500</v>
      </c>
      <c r="B78" s="575" t="s">
        <v>618</v>
      </c>
      <c r="C78" s="574">
        <v>150</v>
      </c>
      <c r="D78" s="574">
        <v>97</v>
      </c>
      <c r="E78" s="574">
        <v>53</v>
      </c>
      <c r="F78" s="574">
        <v>0</v>
      </c>
      <c r="G78" s="574">
        <v>0</v>
      </c>
      <c r="H78" s="574">
        <v>150</v>
      </c>
      <c r="I78" s="574">
        <v>105</v>
      </c>
      <c r="J78" s="574">
        <v>23</v>
      </c>
      <c r="K78" s="574">
        <v>1</v>
      </c>
      <c r="L78" s="574">
        <v>81</v>
      </c>
      <c r="M78" s="574">
        <v>0</v>
      </c>
      <c r="N78" s="574">
        <v>0</v>
      </c>
      <c r="O78" s="574">
        <v>0</v>
      </c>
      <c r="P78" s="589">
        <v>0</v>
      </c>
      <c r="Q78" s="590">
        <v>45</v>
      </c>
      <c r="R78" s="532">
        <f t="shared" si="9"/>
        <v>126</v>
      </c>
      <c r="S78" s="533">
        <f t="shared" si="1"/>
        <v>22.857142857142858</v>
      </c>
      <c r="T78" s="571">
        <f t="shared" si="7"/>
        <v>0</v>
      </c>
    </row>
    <row r="79" spans="1:20" ht="23.25" customHeight="1">
      <c r="A79" s="516" t="s">
        <v>501</v>
      </c>
      <c r="B79" s="575" t="s">
        <v>619</v>
      </c>
      <c r="C79" s="574">
        <v>89</v>
      </c>
      <c r="D79" s="574">
        <v>49</v>
      </c>
      <c r="E79" s="574">
        <v>40</v>
      </c>
      <c r="F79" s="574">
        <v>0</v>
      </c>
      <c r="G79" s="574">
        <v>0</v>
      </c>
      <c r="H79" s="574">
        <v>89</v>
      </c>
      <c r="I79" s="574">
        <v>47</v>
      </c>
      <c r="J79" s="574">
        <v>34</v>
      </c>
      <c r="K79" s="574">
        <v>2</v>
      </c>
      <c r="L79" s="574">
        <v>11</v>
      </c>
      <c r="M79" s="574">
        <v>0</v>
      </c>
      <c r="N79" s="574">
        <v>0</v>
      </c>
      <c r="O79" s="574">
        <v>0</v>
      </c>
      <c r="P79" s="589">
        <v>0</v>
      </c>
      <c r="Q79" s="590">
        <v>42</v>
      </c>
      <c r="R79" s="532">
        <f t="shared" si="9"/>
        <v>53</v>
      </c>
      <c r="S79" s="533">
        <f t="shared" si="1"/>
        <v>76.59574468085107</v>
      </c>
      <c r="T79" s="571">
        <f t="shared" si="7"/>
        <v>0</v>
      </c>
    </row>
    <row r="80" spans="1:21" s="387" customFormat="1" ht="23.25" customHeight="1">
      <c r="A80" s="455">
        <v>10</v>
      </c>
      <c r="B80" s="456" t="s">
        <v>502</v>
      </c>
      <c r="C80" s="572">
        <f>SUM(C81:C89)</f>
        <v>1513</v>
      </c>
      <c r="D80" s="572">
        <f aca="true" t="shared" si="22" ref="D80:Q80">SUM(D81:D89)</f>
        <v>1170</v>
      </c>
      <c r="E80" s="572">
        <f t="shared" si="22"/>
        <v>343</v>
      </c>
      <c r="F80" s="572">
        <f t="shared" si="22"/>
        <v>2</v>
      </c>
      <c r="G80" s="572">
        <f t="shared" si="22"/>
        <v>0</v>
      </c>
      <c r="H80" s="572">
        <f t="shared" si="22"/>
        <v>1511</v>
      </c>
      <c r="I80" s="572">
        <f t="shared" si="22"/>
        <v>677</v>
      </c>
      <c r="J80" s="572">
        <f t="shared" si="22"/>
        <v>215</v>
      </c>
      <c r="K80" s="572">
        <f t="shared" si="22"/>
        <v>11</v>
      </c>
      <c r="L80" s="572">
        <f t="shared" si="22"/>
        <v>445</v>
      </c>
      <c r="M80" s="572">
        <f t="shared" si="22"/>
        <v>4</v>
      </c>
      <c r="N80" s="572">
        <f t="shared" si="22"/>
        <v>0</v>
      </c>
      <c r="O80" s="572">
        <f t="shared" si="22"/>
        <v>0</v>
      </c>
      <c r="P80" s="572">
        <f t="shared" si="22"/>
        <v>2</v>
      </c>
      <c r="Q80" s="572">
        <f t="shared" si="22"/>
        <v>834</v>
      </c>
      <c r="R80" s="457">
        <f t="shared" si="9"/>
        <v>1285</v>
      </c>
      <c r="S80" s="453">
        <f t="shared" si="1"/>
        <v>33.382570162481535</v>
      </c>
      <c r="T80" s="563">
        <f aca="true" t="shared" si="23" ref="T80:T121">H80-I80-Q80</f>
        <v>0</v>
      </c>
      <c r="U80" s="395"/>
    </row>
    <row r="81" spans="1:20" ht="23.25" customHeight="1">
      <c r="A81" s="516" t="s">
        <v>528</v>
      </c>
      <c r="B81" s="540" t="s">
        <v>472</v>
      </c>
      <c r="C81" s="574">
        <v>102</v>
      </c>
      <c r="D81" s="574">
        <v>74</v>
      </c>
      <c r="E81" s="574">
        <v>28</v>
      </c>
      <c r="F81" s="574">
        <v>0</v>
      </c>
      <c r="G81" s="574">
        <v>0</v>
      </c>
      <c r="H81" s="574">
        <v>102</v>
      </c>
      <c r="I81" s="574">
        <v>45</v>
      </c>
      <c r="J81" s="574">
        <v>25</v>
      </c>
      <c r="K81" s="574">
        <v>0</v>
      </c>
      <c r="L81" s="574">
        <v>20</v>
      </c>
      <c r="M81" s="574">
        <v>0</v>
      </c>
      <c r="N81" s="574">
        <v>0</v>
      </c>
      <c r="O81" s="574">
        <v>0</v>
      </c>
      <c r="P81" s="574">
        <v>0</v>
      </c>
      <c r="Q81" s="574">
        <v>57</v>
      </c>
      <c r="R81" s="532">
        <f aca="true" t="shared" si="24" ref="R81:R121">SUM(L81:Q81)</f>
        <v>77</v>
      </c>
      <c r="S81" s="533">
        <f aca="true" t="shared" si="25" ref="S81:S121">(J81+K81)/I81*100</f>
        <v>55.55555555555556</v>
      </c>
      <c r="T81" s="571">
        <f t="shared" si="23"/>
        <v>0</v>
      </c>
    </row>
    <row r="82" spans="1:20" ht="23.25" customHeight="1">
      <c r="A82" s="516" t="s">
        <v>573</v>
      </c>
      <c r="B82" s="540" t="s">
        <v>576</v>
      </c>
      <c r="C82" s="574">
        <v>173</v>
      </c>
      <c r="D82" s="574">
        <v>139</v>
      </c>
      <c r="E82" s="574">
        <v>34</v>
      </c>
      <c r="F82" s="574">
        <v>0</v>
      </c>
      <c r="G82" s="574">
        <v>0</v>
      </c>
      <c r="H82" s="574">
        <v>173</v>
      </c>
      <c r="I82" s="574">
        <v>71</v>
      </c>
      <c r="J82" s="574">
        <v>26</v>
      </c>
      <c r="K82" s="574">
        <v>6</v>
      </c>
      <c r="L82" s="574">
        <v>38</v>
      </c>
      <c r="M82" s="574">
        <v>1</v>
      </c>
      <c r="N82" s="574">
        <v>0</v>
      </c>
      <c r="O82" s="574">
        <v>0</v>
      </c>
      <c r="P82" s="574">
        <v>0</v>
      </c>
      <c r="Q82" s="574">
        <v>102</v>
      </c>
      <c r="R82" s="532">
        <f t="shared" si="24"/>
        <v>141</v>
      </c>
      <c r="S82" s="533">
        <f t="shared" si="25"/>
        <v>45.07042253521127</v>
      </c>
      <c r="T82" s="571">
        <f t="shared" si="23"/>
        <v>0</v>
      </c>
    </row>
    <row r="83" spans="1:20" ht="23.25" customHeight="1">
      <c r="A83" s="516" t="s">
        <v>529</v>
      </c>
      <c r="B83" s="540" t="s">
        <v>503</v>
      </c>
      <c r="C83" s="574">
        <v>123</v>
      </c>
      <c r="D83" s="574">
        <v>94</v>
      </c>
      <c r="E83" s="574">
        <v>29</v>
      </c>
      <c r="F83" s="574">
        <v>1</v>
      </c>
      <c r="G83" s="574">
        <v>0</v>
      </c>
      <c r="H83" s="574">
        <v>122</v>
      </c>
      <c r="I83" s="574">
        <v>61</v>
      </c>
      <c r="J83" s="574">
        <v>20</v>
      </c>
      <c r="K83" s="574">
        <v>1</v>
      </c>
      <c r="L83" s="574">
        <v>40</v>
      </c>
      <c r="M83" s="574">
        <v>0</v>
      </c>
      <c r="N83" s="574">
        <v>0</v>
      </c>
      <c r="O83" s="574">
        <v>0</v>
      </c>
      <c r="P83" s="574">
        <v>0</v>
      </c>
      <c r="Q83" s="574">
        <v>61</v>
      </c>
      <c r="R83" s="532">
        <f t="shared" si="24"/>
        <v>101</v>
      </c>
      <c r="S83" s="533">
        <f t="shared" si="25"/>
        <v>34.42622950819672</v>
      </c>
      <c r="T83" s="571">
        <f t="shared" si="23"/>
        <v>0</v>
      </c>
    </row>
    <row r="84" spans="1:20" ht="23.25" customHeight="1">
      <c r="A84" s="516" t="s">
        <v>530</v>
      </c>
      <c r="B84" s="540" t="s">
        <v>550</v>
      </c>
      <c r="C84" s="574">
        <v>175</v>
      </c>
      <c r="D84" s="574">
        <v>147</v>
      </c>
      <c r="E84" s="574">
        <v>28</v>
      </c>
      <c r="F84" s="574">
        <v>0</v>
      </c>
      <c r="G84" s="574">
        <v>0</v>
      </c>
      <c r="H84" s="574">
        <v>175</v>
      </c>
      <c r="I84" s="574">
        <v>66</v>
      </c>
      <c r="J84" s="574">
        <v>19</v>
      </c>
      <c r="K84" s="574">
        <v>3</v>
      </c>
      <c r="L84" s="574">
        <v>42</v>
      </c>
      <c r="M84" s="574">
        <v>0</v>
      </c>
      <c r="N84" s="574">
        <v>0</v>
      </c>
      <c r="O84" s="574">
        <v>0</v>
      </c>
      <c r="P84" s="574">
        <v>2</v>
      </c>
      <c r="Q84" s="574">
        <v>109</v>
      </c>
      <c r="R84" s="532">
        <f t="shared" si="24"/>
        <v>153</v>
      </c>
      <c r="S84" s="533">
        <f t="shared" si="25"/>
        <v>33.33333333333333</v>
      </c>
      <c r="T84" s="571">
        <f t="shared" si="23"/>
        <v>0</v>
      </c>
    </row>
    <row r="85" spans="1:20" ht="23.25" customHeight="1">
      <c r="A85" s="516" t="s">
        <v>531</v>
      </c>
      <c r="B85" s="540" t="s">
        <v>504</v>
      </c>
      <c r="C85" s="574">
        <v>192</v>
      </c>
      <c r="D85" s="574">
        <v>140</v>
      </c>
      <c r="E85" s="574">
        <v>52</v>
      </c>
      <c r="F85" s="574">
        <v>1</v>
      </c>
      <c r="G85" s="574">
        <v>0</v>
      </c>
      <c r="H85" s="574">
        <v>191</v>
      </c>
      <c r="I85" s="574">
        <v>110</v>
      </c>
      <c r="J85" s="574">
        <v>20</v>
      </c>
      <c r="K85" s="574">
        <v>0</v>
      </c>
      <c r="L85" s="574">
        <v>90</v>
      </c>
      <c r="M85" s="574">
        <v>0</v>
      </c>
      <c r="N85" s="574">
        <v>0</v>
      </c>
      <c r="O85" s="574">
        <v>0</v>
      </c>
      <c r="P85" s="574">
        <v>0</v>
      </c>
      <c r="Q85" s="574">
        <v>81</v>
      </c>
      <c r="R85" s="532">
        <f t="shared" si="24"/>
        <v>171</v>
      </c>
      <c r="S85" s="533">
        <f t="shared" si="25"/>
        <v>18.181818181818183</v>
      </c>
      <c r="T85" s="571">
        <f t="shared" si="23"/>
        <v>0</v>
      </c>
    </row>
    <row r="86" spans="1:20" ht="23.25" customHeight="1">
      <c r="A86" s="516" t="s">
        <v>532</v>
      </c>
      <c r="B86" s="540" t="s">
        <v>506</v>
      </c>
      <c r="C86" s="574">
        <v>186</v>
      </c>
      <c r="D86" s="574">
        <v>133</v>
      </c>
      <c r="E86" s="574">
        <v>53</v>
      </c>
      <c r="F86" s="574">
        <v>0</v>
      </c>
      <c r="G86" s="574">
        <v>0</v>
      </c>
      <c r="H86" s="574">
        <v>186</v>
      </c>
      <c r="I86" s="574">
        <v>93</v>
      </c>
      <c r="J86" s="574">
        <v>26</v>
      </c>
      <c r="K86" s="574">
        <v>1</v>
      </c>
      <c r="L86" s="574">
        <v>66</v>
      </c>
      <c r="M86" s="574">
        <v>0</v>
      </c>
      <c r="N86" s="574">
        <v>0</v>
      </c>
      <c r="O86" s="574">
        <v>0</v>
      </c>
      <c r="P86" s="574">
        <v>0</v>
      </c>
      <c r="Q86" s="574">
        <v>93</v>
      </c>
      <c r="R86" s="532">
        <f t="shared" si="24"/>
        <v>159</v>
      </c>
      <c r="S86" s="533">
        <f t="shared" si="25"/>
        <v>29.03225806451613</v>
      </c>
      <c r="T86" s="571">
        <f t="shared" si="23"/>
        <v>0</v>
      </c>
    </row>
    <row r="87" spans="1:20" ht="23.25" customHeight="1">
      <c r="A87" s="516" t="s">
        <v>505</v>
      </c>
      <c r="B87" s="591" t="s">
        <v>551</v>
      </c>
      <c r="C87" s="592">
        <v>189</v>
      </c>
      <c r="D87" s="592">
        <v>158</v>
      </c>
      <c r="E87" s="592">
        <v>31</v>
      </c>
      <c r="F87" s="592">
        <v>0</v>
      </c>
      <c r="G87" s="592">
        <v>0</v>
      </c>
      <c r="H87" s="592">
        <v>189</v>
      </c>
      <c r="I87" s="592">
        <v>93</v>
      </c>
      <c r="J87" s="592">
        <v>22</v>
      </c>
      <c r="K87" s="592">
        <v>0</v>
      </c>
      <c r="L87" s="592">
        <v>68</v>
      </c>
      <c r="M87" s="592">
        <v>3</v>
      </c>
      <c r="N87" s="592">
        <v>0</v>
      </c>
      <c r="O87" s="592">
        <v>0</v>
      </c>
      <c r="P87" s="592">
        <v>0</v>
      </c>
      <c r="Q87" s="592">
        <v>96</v>
      </c>
      <c r="R87" s="532">
        <f t="shared" si="24"/>
        <v>167</v>
      </c>
      <c r="S87" s="533">
        <f t="shared" si="25"/>
        <v>23.655913978494624</v>
      </c>
      <c r="T87" s="571">
        <f t="shared" si="23"/>
        <v>0</v>
      </c>
    </row>
    <row r="88" spans="1:20" ht="23.25" customHeight="1">
      <c r="A88" s="516" t="s">
        <v>507</v>
      </c>
      <c r="B88" s="540" t="s">
        <v>552</v>
      </c>
      <c r="C88" s="574">
        <v>195</v>
      </c>
      <c r="D88" s="574">
        <v>151</v>
      </c>
      <c r="E88" s="574">
        <v>44</v>
      </c>
      <c r="F88" s="574">
        <v>0</v>
      </c>
      <c r="G88" s="574">
        <v>0</v>
      </c>
      <c r="H88" s="574">
        <v>195</v>
      </c>
      <c r="I88" s="574">
        <v>63</v>
      </c>
      <c r="J88" s="574">
        <v>27</v>
      </c>
      <c r="K88" s="574">
        <v>0</v>
      </c>
      <c r="L88" s="574">
        <v>36</v>
      </c>
      <c r="M88" s="574">
        <v>0</v>
      </c>
      <c r="N88" s="574">
        <v>0</v>
      </c>
      <c r="O88" s="574">
        <v>0</v>
      </c>
      <c r="P88" s="574">
        <v>0</v>
      </c>
      <c r="Q88" s="574">
        <v>132</v>
      </c>
      <c r="R88" s="532">
        <f t="shared" si="24"/>
        <v>168</v>
      </c>
      <c r="S88" s="533">
        <f t="shared" si="25"/>
        <v>42.857142857142854</v>
      </c>
      <c r="T88" s="571">
        <f t="shared" si="23"/>
        <v>0</v>
      </c>
    </row>
    <row r="89" spans="1:20" ht="23.25" customHeight="1">
      <c r="A89" s="516" t="s">
        <v>508</v>
      </c>
      <c r="B89" s="540" t="s">
        <v>509</v>
      </c>
      <c r="C89" s="574">
        <v>178</v>
      </c>
      <c r="D89" s="574">
        <v>134</v>
      </c>
      <c r="E89" s="574">
        <v>44</v>
      </c>
      <c r="F89" s="574">
        <v>0</v>
      </c>
      <c r="G89" s="574">
        <v>0</v>
      </c>
      <c r="H89" s="574">
        <v>178</v>
      </c>
      <c r="I89" s="574">
        <v>75</v>
      </c>
      <c r="J89" s="574">
        <v>30</v>
      </c>
      <c r="K89" s="574">
        <v>0</v>
      </c>
      <c r="L89" s="574">
        <v>45</v>
      </c>
      <c r="M89" s="574">
        <v>0</v>
      </c>
      <c r="N89" s="574">
        <v>0</v>
      </c>
      <c r="O89" s="574">
        <v>0</v>
      </c>
      <c r="P89" s="574">
        <v>0</v>
      </c>
      <c r="Q89" s="574">
        <v>103</v>
      </c>
      <c r="R89" s="532">
        <f t="shared" si="24"/>
        <v>148</v>
      </c>
      <c r="S89" s="533">
        <f t="shared" si="25"/>
        <v>40</v>
      </c>
      <c r="T89" s="571">
        <f t="shared" si="23"/>
        <v>0</v>
      </c>
    </row>
    <row r="90" spans="1:21" s="387" customFormat="1" ht="23.25" customHeight="1">
      <c r="A90" s="455">
        <v>11</v>
      </c>
      <c r="B90" s="456" t="s">
        <v>510</v>
      </c>
      <c r="C90" s="572">
        <f>SUM(C91:C93)</f>
        <v>127</v>
      </c>
      <c r="D90" s="572">
        <f aca="true" t="shared" si="26" ref="D90:Q90">SUM(D91:D93)</f>
        <v>60</v>
      </c>
      <c r="E90" s="572">
        <f t="shared" si="26"/>
        <v>67</v>
      </c>
      <c r="F90" s="572">
        <f t="shared" si="26"/>
        <v>2</v>
      </c>
      <c r="G90" s="572">
        <f t="shared" si="26"/>
        <v>0</v>
      </c>
      <c r="H90" s="572">
        <f t="shared" si="26"/>
        <v>125</v>
      </c>
      <c r="I90" s="572">
        <f t="shared" si="26"/>
        <v>81</v>
      </c>
      <c r="J90" s="572">
        <f t="shared" si="26"/>
        <v>56</v>
      </c>
      <c r="K90" s="572">
        <f t="shared" si="26"/>
        <v>0</v>
      </c>
      <c r="L90" s="572">
        <f t="shared" si="26"/>
        <v>22</v>
      </c>
      <c r="M90" s="572">
        <f t="shared" si="26"/>
        <v>0</v>
      </c>
      <c r="N90" s="572">
        <f t="shared" si="26"/>
        <v>0</v>
      </c>
      <c r="O90" s="572">
        <f t="shared" si="26"/>
        <v>0</v>
      </c>
      <c r="P90" s="572">
        <f t="shared" si="26"/>
        <v>3</v>
      </c>
      <c r="Q90" s="572">
        <f t="shared" si="26"/>
        <v>44</v>
      </c>
      <c r="R90" s="457">
        <f t="shared" si="24"/>
        <v>69</v>
      </c>
      <c r="S90" s="453">
        <f t="shared" si="25"/>
        <v>69.1358024691358</v>
      </c>
      <c r="T90" s="563">
        <f t="shared" si="23"/>
        <v>0</v>
      </c>
      <c r="U90" s="395"/>
    </row>
    <row r="91" spans="1:20" ht="23.25" customHeight="1">
      <c r="A91" s="516" t="s">
        <v>511</v>
      </c>
      <c r="B91" s="534" t="s">
        <v>512</v>
      </c>
      <c r="C91" s="586">
        <f>D91+E91</f>
        <v>36</v>
      </c>
      <c r="D91" s="586">
        <v>1</v>
      </c>
      <c r="E91" s="586">
        <v>35</v>
      </c>
      <c r="F91" s="586">
        <v>2</v>
      </c>
      <c r="G91" s="586">
        <v>0</v>
      </c>
      <c r="H91" s="586">
        <f>I91+Q91</f>
        <v>34</v>
      </c>
      <c r="I91" s="586">
        <f>J91+K91+L91+M91+N91+O91+P91</f>
        <v>34</v>
      </c>
      <c r="J91" s="586">
        <v>33</v>
      </c>
      <c r="K91" s="586">
        <v>0</v>
      </c>
      <c r="L91" s="586">
        <v>1</v>
      </c>
      <c r="M91" s="586">
        <v>0</v>
      </c>
      <c r="N91" s="586">
        <v>0</v>
      </c>
      <c r="O91" s="586">
        <v>0</v>
      </c>
      <c r="P91" s="587"/>
      <c r="Q91" s="588"/>
      <c r="R91" s="532">
        <f t="shared" si="24"/>
        <v>1</v>
      </c>
      <c r="S91" s="533">
        <f t="shared" si="25"/>
        <v>97.05882352941177</v>
      </c>
      <c r="T91" s="571">
        <f t="shared" si="23"/>
        <v>0</v>
      </c>
    </row>
    <row r="92" spans="1:20" ht="23.25" customHeight="1">
      <c r="A92" s="516" t="s">
        <v>513</v>
      </c>
      <c r="B92" s="534" t="s">
        <v>514</v>
      </c>
      <c r="C92" s="586">
        <f>D92+E92</f>
        <v>58</v>
      </c>
      <c r="D92" s="586">
        <v>34</v>
      </c>
      <c r="E92" s="586">
        <v>24</v>
      </c>
      <c r="F92" s="586">
        <v>0</v>
      </c>
      <c r="G92" s="586">
        <v>0</v>
      </c>
      <c r="H92" s="586">
        <f>I92+Q92</f>
        <v>58</v>
      </c>
      <c r="I92" s="586">
        <f>J92+K92+L92+M92+N92+O92+P92</f>
        <v>32</v>
      </c>
      <c r="J92" s="586">
        <v>21</v>
      </c>
      <c r="K92" s="586">
        <v>0</v>
      </c>
      <c r="L92" s="586">
        <v>9</v>
      </c>
      <c r="M92" s="586">
        <v>0</v>
      </c>
      <c r="N92" s="586">
        <v>0</v>
      </c>
      <c r="O92" s="586">
        <v>0</v>
      </c>
      <c r="P92" s="587">
        <v>2</v>
      </c>
      <c r="Q92" s="588">
        <v>26</v>
      </c>
      <c r="R92" s="532">
        <f t="shared" si="24"/>
        <v>37</v>
      </c>
      <c r="S92" s="533">
        <f t="shared" si="25"/>
        <v>65.625</v>
      </c>
      <c r="T92" s="571">
        <f t="shared" si="23"/>
        <v>0</v>
      </c>
    </row>
    <row r="93" spans="1:20" ht="23.25" customHeight="1">
      <c r="A93" s="516" t="s">
        <v>622</v>
      </c>
      <c r="B93" s="534" t="s">
        <v>623</v>
      </c>
      <c r="C93" s="540">
        <f>D93+E93</f>
        <v>33</v>
      </c>
      <c r="D93" s="540">
        <v>25</v>
      </c>
      <c r="E93" s="540">
        <v>8</v>
      </c>
      <c r="F93" s="540"/>
      <c r="G93" s="540"/>
      <c r="H93" s="540">
        <f>I93+Q93</f>
        <v>33</v>
      </c>
      <c r="I93" s="540">
        <f>J93+K93+L93+M93+N93+O93+P93</f>
        <v>15</v>
      </c>
      <c r="J93" s="540">
        <v>2</v>
      </c>
      <c r="K93" s="540"/>
      <c r="L93" s="540">
        <v>12</v>
      </c>
      <c r="M93" s="540"/>
      <c r="N93" s="540"/>
      <c r="O93" s="540"/>
      <c r="P93" s="541">
        <v>1</v>
      </c>
      <c r="Q93" s="542">
        <v>18</v>
      </c>
      <c r="R93" s="532">
        <f t="shared" si="24"/>
        <v>31</v>
      </c>
      <c r="S93" s="533">
        <f t="shared" si="25"/>
        <v>13.333333333333334</v>
      </c>
      <c r="T93" s="571"/>
    </row>
    <row r="94" spans="1:21" s="387" customFormat="1" ht="23.25" customHeight="1">
      <c r="A94" s="455">
        <v>12</v>
      </c>
      <c r="B94" s="456" t="s">
        <v>516</v>
      </c>
      <c r="C94" s="572">
        <f>SUM(C95:C97)</f>
        <v>328</v>
      </c>
      <c r="D94" s="572">
        <f aca="true" t="shared" si="27" ref="D94:Q94">SUM(D95:D97)</f>
        <v>162</v>
      </c>
      <c r="E94" s="572">
        <f t="shared" si="27"/>
        <v>166</v>
      </c>
      <c r="F94" s="572">
        <f t="shared" si="27"/>
        <v>0</v>
      </c>
      <c r="G94" s="572">
        <f t="shared" si="27"/>
        <v>0</v>
      </c>
      <c r="H94" s="572">
        <f t="shared" si="27"/>
        <v>328</v>
      </c>
      <c r="I94" s="572">
        <f t="shared" si="27"/>
        <v>215</v>
      </c>
      <c r="J94" s="572">
        <f t="shared" si="27"/>
        <v>121</v>
      </c>
      <c r="K94" s="572">
        <f t="shared" si="27"/>
        <v>4</v>
      </c>
      <c r="L94" s="572">
        <f t="shared" si="27"/>
        <v>90</v>
      </c>
      <c r="M94" s="572">
        <f t="shared" si="27"/>
        <v>0</v>
      </c>
      <c r="N94" s="572">
        <f t="shared" si="27"/>
        <v>0</v>
      </c>
      <c r="O94" s="572">
        <f t="shared" si="27"/>
        <v>0</v>
      </c>
      <c r="P94" s="572">
        <f t="shared" si="27"/>
        <v>0</v>
      </c>
      <c r="Q94" s="572">
        <f t="shared" si="27"/>
        <v>113</v>
      </c>
      <c r="R94" s="457">
        <f t="shared" si="24"/>
        <v>203</v>
      </c>
      <c r="S94" s="453">
        <f t="shared" si="25"/>
        <v>58.139534883720934</v>
      </c>
      <c r="T94" s="563">
        <f t="shared" si="23"/>
        <v>0</v>
      </c>
      <c r="U94" s="395"/>
    </row>
    <row r="95" spans="1:20" ht="23.25" customHeight="1">
      <c r="A95" s="531">
        <v>12.1</v>
      </c>
      <c r="B95" s="534" t="s">
        <v>538</v>
      </c>
      <c r="C95" s="583">
        <f>D95+E95</f>
        <v>164</v>
      </c>
      <c r="D95" s="583">
        <v>28</v>
      </c>
      <c r="E95" s="583">
        <v>136</v>
      </c>
      <c r="F95" s="583">
        <v>0</v>
      </c>
      <c r="G95" s="583">
        <v>0</v>
      </c>
      <c r="H95" s="583">
        <f>C95-F95-G95</f>
        <v>164</v>
      </c>
      <c r="I95" s="583">
        <f>H95-Q95</f>
        <v>140</v>
      </c>
      <c r="J95" s="583">
        <v>100</v>
      </c>
      <c r="K95" s="583">
        <v>0</v>
      </c>
      <c r="L95" s="583">
        <v>40</v>
      </c>
      <c r="M95" s="583"/>
      <c r="N95" s="583"/>
      <c r="O95" s="583"/>
      <c r="P95" s="583"/>
      <c r="Q95" s="583">
        <v>24</v>
      </c>
      <c r="R95" s="532">
        <f t="shared" si="24"/>
        <v>64</v>
      </c>
      <c r="S95" s="533">
        <f t="shared" si="25"/>
        <v>71.42857142857143</v>
      </c>
      <c r="T95" s="571">
        <f t="shared" si="23"/>
        <v>0</v>
      </c>
    </row>
    <row r="96" spans="1:20" ht="23.25" customHeight="1">
      <c r="A96" s="531">
        <v>12.2</v>
      </c>
      <c r="B96" s="534" t="s">
        <v>517</v>
      </c>
      <c r="C96" s="583">
        <f>D96+E96</f>
        <v>120</v>
      </c>
      <c r="D96" s="583">
        <v>97</v>
      </c>
      <c r="E96" s="583">
        <v>23</v>
      </c>
      <c r="F96" s="583">
        <v>0</v>
      </c>
      <c r="G96" s="583">
        <v>0</v>
      </c>
      <c r="H96" s="583">
        <f>C96-F96-G96</f>
        <v>120</v>
      </c>
      <c r="I96" s="583">
        <f>H96-Q96</f>
        <v>54</v>
      </c>
      <c r="J96" s="583">
        <v>18</v>
      </c>
      <c r="K96" s="583">
        <v>3</v>
      </c>
      <c r="L96" s="583">
        <v>33</v>
      </c>
      <c r="M96" s="583">
        <v>0</v>
      </c>
      <c r="N96" s="583"/>
      <c r="O96" s="583"/>
      <c r="P96" s="583"/>
      <c r="Q96" s="583">
        <v>66</v>
      </c>
      <c r="R96" s="532">
        <f t="shared" si="24"/>
        <v>99</v>
      </c>
      <c r="S96" s="533">
        <f t="shared" si="25"/>
        <v>38.88888888888889</v>
      </c>
      <c r="T96" s="571">
        <f t="shared" si="23"/>
        <v>0</v>
      </c>
    </row>
    <row r="97" spans="1:20" ht="23.25" customHeight="1">
      <c r="A97" s="531">
        <v>12.3</v>
      </c>
      <c r="B97" s="534" t="s">
        <v>466</v>
      </c>
      <c r="C97" s="583">
        <f>D97+E97</f>
        <v>44</v>
      </c>
      <c r="D97" s="583">
        <v>37</v>
      </c>
      <c r="E97" s="583">
        <v>7</v>
      </c>
      <c r="F97" s="583">
        <v>0</v>
      </c>
      <c r="G97" s="583">
        <v>0</v>
      </c>
      <c r="H97" s="583">
        <f>C97-F97-G97</f>
        <v>44</v>
      </c>
      <c r="I97" s="583">
        <f>H97-Q97</f>
        <v>21</v>
      </c>
      <c r="J97" s="583">
        <v>3</v>
      </c>
      <c r="K97" s="583">
        <v>1</v>
      </c>
      <c r="L97" s="583">
        <v>17</v>
      </c>
      <c r="M97" s="583"/>
      <c r="N97" s="583"/>
      <c r="O97" s="583"/>
      <c r="P97" s="583"/>
      <c r="Q97" s="583">
        <v>23</v>
      </c>
      <c r="R97" s="532">
        <f t="shared" si="24"/>
        <v>40</v>
      </c>
      <c r="S97" s="533">
        <f t="shared" si="25"/>
        <v>19.047619047619047</v>
      </c>
      <c r="T97" s="571">
        <f t="shared" si="23"/>
        <v>0</v>
      </c>
    </row>
    <row r="98" spans="1:21" s="387" customFormat="1" ht="23.25" customHeight="1">
      <c r="A98" s="455">
        <v>13</v>
      </c>
      <c r="B98" s="456" t="s">
        <v>518</v>
      </c>
      <c r="C98" s="572">
        <f>SUM(C99:C111)</f>
        <v>2501</v>
      </c>
      <c r="D98" s="572">
        <f aca="true" t="shared" si="28" ref="D98:Q98">SUM(D99:D111)</f>
        <v>1873</v>
      </c>
      <c r="E98" s="572">
        <f t="shared" si="28"/>
        <v>628</v>
      </c>
      <c r="F98" s="572">
        <f t="shared" si="28"/>
        <v>2</v>
      </c>
      <c r="G98" s="572">
        <f t="shared" si="28"/>
        <v>0</v>
      </c>
      <c r="H98" s="572">
        <f t="shared" si="28"/>
        <v>2499</v>
      </c>
      <c r="I98" s="572">
        <f t="shared" si="28"/>
        <v>1237</v>
      </c>
      <c r="J98" s="572">
        <f t="shared" si="28"/>
        <v>371</v>
      </c>
      <c r="K98" s="572">
        <f t="shared" si="28"/>
        <v>10</v>
      </c>
      <c r="L98" s="572">
        <f t="shared" si="28"/>
        <v>856</v>
      </c>
      <c r="M98" s="572">
        <f t="shared" si="28"/>
        <v>0</v>
      </c>
      <c r="N98" s="572">
        <f t="shared" si="28"/>
        <v>0</v>
      </c>
      <c r="O98" s="572">
        <f t="shared" si="28"/>
        <v>0</v>
      </c>
      <c r="P98" s="572">
        <f t="shared" si="28"/>
        <v>0</v>
      </c>
      <c r="Q98" s="572">
        <f t="shared" si="28"/>
        <v>1262</v>
      </c>
      <c r="R98" s="457">
        <f t="shared" si="24"/>
        <v>2118</v>
      </c>
      <c r="S98" s="453">
        <f t="shared" si="25"/>
        <v>30.80032336297494</v>
      </c>
      <c r="T98" s="563">
        <f t="shared" si="23"/>
        <v>0</v>
      </c>
      <c r="U98" s="395"/>
    </row>
    <row r="99" spans="1:20" ht="23.25" customHeight="1">
      <c r="A99" s="531">
        <v>13.1</v>
      </c>
      <c r="B99" s="512" t="s">
        <v>599</v>
      </c>
      <c r="C99" s="540">
        <f>D99+E99</f>
        <v>180</v>
      </c>
      <c r="D99" s="540">
        <v>27</v>
      </c>
      <c r="E99" s="540">
        <v>153</v>
      </c>
      <c r="F99" s="540">
        <v>0</v>
      </c>
      <c r="G99" s="540">
        <v>0</v>
      </c>
      <c r="H99" s="540">
        <f>I99+Q99</f>
        <v>180</v>
      </c>
      <c r="I99" s="540">
        <f>J99+K99+L99+M99+N99+O99+P99</f>
        <v>169</v>
      </c>
      <c r="J99" s="540">
        <v>108</v>
      </c>
      <c r="K99" s="540">
        <v>0</v>
      </c>
      <c r="L99" s="540">
        <v>61</v>
      </c>
      <c r="M99" s="540">
        <v>0</v>
      </c>
      <c r="N99" s="540">
        <v>0</v>
      </c>
      <c r="O99" s="540">
        <v>0</v>
      </c>
      <c r="P99" s="540">
        <v>0</v>
      </c>
      <c r="Q99" s="542">
        <v>11</v>
      </c>
      <c r="R99" s="532">
        <f t="shared" si="24"/>
        <v>72</v>
      </c>
      <c r="S99" s="533">
        <f t="shared" si="25"/>
        <v>63.905325443786985</v>
      </c>
      <c r="T99" s="571">
        <f t="shared" si="23"/>
        <v>0</v>
      </c>
    </row>
    <row r="100" spans="1:20" ht="23.25" customHeight="1">
      <c r="A100" s="531">
        <v>13.2</v>
      </c>
      <c r="B100" s="512" t="s">
        <v>600</v>
      </c>
      <c r="C100" s="540">
        <f aca="true" t="shared" si="29" ref="C100:C111">D100+E100</f>
        <v>118</v>
      </c>
      <c r="D100" s="540">
        <v>83</v>
      </c>
      <c r="E100" s="540">
        <v>35</v>
      </c>
      <c r="F100" s="540">
        <v>2</v>
      </c>
      <c r="G100" s="540">
        <v>0</v>
      </c>
      <c r="H100" s="540">
        <f aca="true" t="shared" si="30" ref="H100:H111">I100+Q100</f>
        <v>116</v>
      </c>
      <c r="I100" s="540">
        <f>J100+K100+L100+M100+N100+O100+P100</f>
        <v>64</v>
      </c>
      <c r="J100" s="540">
        <v>20</v>
      </c>
      <c r="K100" s="540">
        <v>0</v>
      </c>
      <c r="L100" s="540">
        <v>44</v>
      </c>
      <c r="M100" s="540">
        <v>0</v>
      </c>
      <c r="N100" s="540">
        <v>0</v>
      </c>
      <c r="O100" s="540">
        <v>0</v>
      </c>
      <c r="P100" s="540">
        <v>0</v>
      </c>
      <c r="Q100" s="542">
        <v>52</v>
      </c>
      <c r="R100" s="532">
        <f t="shared" si="24"/>
        <v>96</v>
      </c>
      <c r="S100" s="533">
        <f t="shared" si="25"/>
        <v>31.25</v>
      </c>
      <c r="T100" s="571">
        <f t="shared" si="23"/>
        <v>0</v>
      </c>
    </row>
    <row r="101" spans="1:20" ht="23.25" customHeight="1">
      <c r="A101" s="531">
        <v>13.3</v>
      </c>
      <c r="B101" s="512" t="s">
        <v>601</v>
      </c>
      <c r="C101" s="540">
        <f t="shared" si="29"/>
        <v>317</v>
      </c>
      <c r="D101" s="540">
        <v>245</v>
      </c>
      <c r="E101" s="540">
        <v>72</v>
      </c>
      <c r="F101" s="540">
        <v>0</v>
      </c>
      <c r="G101" s="540">
        <v>0</v>
      </c>
      <c r="H101" s="540">
        <f t="shared" si="30"/>
        <v>317</v>
      </c>
      <c r="I101" s="540">
        <f aca="true" t="shared" si="31" ref="I101:I111">J101+K101+L101+M101+N101+O101+P101</f>
        <v>148</v>
      </c>
      <c r="J101" s="540">
        <v>44</v>
      </c>
      <c r="K101" s="540">
        <v>1</v>
      </c>
      <c r="L101" s="540">
        <v>103</v>
      </c>
      <c r="M101" s="540">
        <v>0</v>
      </c>
      <c r="N101" s="540">
        <v>0</v>
      </c>
      <c r="O101" s="540">
        <v>0</v>
      </c>
      <c r="P101" s="540">
        <v>0</v>
      </c>
      <c r="Q101" s="542">
        <v>169</v>
      </c>
      <c r="R101" s="532">
        <f t="shared" si="24"/>
        <v>272</v>
      </c>
      <c r="S101" s="533">
        <f t="shared" si="25"/>
        <v>30.405405405405407</v>
      </c>
      <c r="T101" s="571">
        <f t="shared" si="23"/>
        <v>0</v>
      </c>
    </row>
    <row r="102" spans="1:20" ht="23.25" customHeight="1">
      <c r="A102" s="531">
        <v>13.4</v>
      </c>
      <c r="B102" s="513" t="s">
        <v>602</v>
      </c>
      <c r="C102" s="540">
        <f t="shared" si="29"/>
        <v>226</v>
      </c>
      <c r="D102" s="540">
        <v>173</v>
      </c>
      <c r="E102" s="540">
        <v>53</v>
      </c>
      <c r="F102" s="540">
        <v>0</v>
      </c>
      <c r="G102" s="540">
        <v>0</v>
      </c>
      <c r="H102" s="540">
        <f>I102+Q102</f>
        <v>226</v>
      </c>
      <c r="I102" s="540">
        <f t="shared" si="31"/>
        <v>100</v>
      </c>
      <c r="J102" s="540">
        <v>26</v>
      </c>
      <c r="K102" s="540">
        <v>2</v>
      </c>
      <c r="L102" s="540">
        <v>72</v>
      </c>
      <c r="M102" s="540">
        <v>0</v>
      </c>
      <c r="N102" s="540">
        <v>0</v>
      </c>
      <c r="O102" s="540">
        <v>0</v>
      </c>
      <c r="P102" s="540">
        <v>0</v>
      </c>
      <c r="Q102" s="542">
        <v>126</v>
      </c>
      <c r="R102" s="532">
        <f t="shared" si="24"/>
        <v>198</v>
      </c>
      <c r="S102" s="533">
        <f t="shared" si="25"/>
        <v>28.000000000000004</v>
      </c>
      <c r="T102" s="571">
        <f t="shared" si="23"/>
        <v>0</v>
      </c>
    </row>
    <row r="103" spans="1:20" ht="23.25" customHeight="1">
      <c r="A103" s="531">
        <v>13.5</v>
      </c>
      <c r="B103" s="514" t="s">
        <v>603</v>
      </c>
      <c r="C103" s="540">
        <f>D103+E103</f>
        <v>158</v>
      </c>
      <c r="D103" s="540">
        <v>123</v>
      </c>
      <c r="E103" s="540">
        <v>35</v>
      </c>
      <c r="F103" s="540">
        <v>0</v>
      </c>
      <c r="G103" s="540">
        <v>0</v>
      </c>
      <c r="H103" s="540">
        <f t="shared" si="30"/>
        <v>158</v>
      </c>
      <c r="I103" s="540">
        <f t="shared" si="31"/>
        <v>80</v>
      </c>
      <c r="J103" s="540">
        <v>25</v>
      </c>
      <c r="K103" s="540">
        <v>0</v>
      </c>
      <c r="L103" s="540">
        <v>55</v>
      </c>
      <c r="M103" s="540">
        <v>0</v>
      </c>
      <c r="N103" s="540">
        <v>0</v>
      </c>
      <c r="O103" s="540">
        <v>0</v>
      </c>
      <c r="P103" s="540">
        <v>0</v>
      </c>
      <c r="Q103" s="542">
        <v>78</v>
      </c>
      <c r="R103" s="532">
        <f t="shared" si="24"/>
        <v>133</v>
      </c>
      <c r="S103" s="533">
        <f t="shared" si="25"/>
        <v>31.25</v>
      </c>
      <c r="T103" s="571">
        <f t="shared" si="23"/>
        <v>0</v>
      </c>
    </row>
    <row r="104" spans="1:20" ht="23.25" customHeight="1">
      <c r="A104" s="531">
        <v>13.6</v>
      </c>
      <c r="B104" s="514" t="s">
        <v>604</v>
      </c>
      <c r="C104" s="540">
        <f t="shared" si="29"/>
        <v>187</v>
      </c>
      <c r="D104" s="540">
        <v>162</v>
      </c>
      <c r="E104" s="540">
        <v>25</v>
      </c>
      <c r="F104" s="540">
        <v>0</v>
      </c>
      <c r="G104" s="540">
        <v>0</v>
      </c>
      <c r="H104" s="540">
        <f t="shared" si="30"/>
        <v>187</v>
      </c>
      <c r="I104" s="540">
        <f t="shared" si="31"/>
        <v>89</v>
      </c>
      <c r="J104" s="540">
        <v>27</v>
      </c>
      <c r="K104" s="540">
        <v>6</v>
      </c>
      <c r="L104" s="540">
        <v>56</v>
      </c>
      <c r="M104" s="540">
        <v>0</v>
      </c>
      <c r="N104" s="540">
        <v>0</v>
      </c>
      <c r="O104" s="540">
        <v>0</v>
      </c>
      <c r="P104" s="540">
        <v>0</v>
      </c>
      <c r="Q104" s="542">
        <v>98</v>
      </c>
      <c r="R104" s="532">
        <f t="shared" si="24"/>
        <v>154</v>
      </c>
      <c r="S104" s="533">
        <f t="shared" si="25"/>
        <v>37.07865168539326</v>
      </c>
      <c r="T104" s="571">
        <f t="shared" si="23"/>
        <v>0</v>
      </c>
    </row>
    <row r="105" spans="1:20" ht="23.25" customHeight="1">
      <c r="A105" s="531">
        <v>13.7</v>
      </c>
      <c r="B105" s="514" t="s">
        <v>577</v>
      </c>
      <c r="C105" s="540">
        <f t="shared" si="29"/>
        <v>207</v>
      </c>
      <c r="D105" s="540">
        <v>153</v>
      </c>
      <c r="E105" s="540">
        <v>54</v>
      </c>
      <c r="F105" s="540">
        <v>0</v>
      </c>
      <c r="G105" s="540">
        <v>0</v>
      </c>
      <c r="H105" s="540">
        <f t="shared" si="30"/>
        <v>207</v>
      </c>
      <c r="I105" s="540">
        <f>J105+K105+L105+M105+N105+O105+P105</f>
        <v>106</v>
      </c>
      <c r="J105" s="540">
        <v>43</v>
      </c>
      <c r="K105" s="540">
        <v>1</v>
      </c>
      <c r="L105" s="540">
        <v>62</v>
      </c>
      <c r="M105" s="540">
        <v>0</v>
      </c>
      <c r="N105" s="540">
        <v>0</v>
      </c>
      <c r="O105" s="540">
        <v>0</v>
      </c>
      <c r="P105" s="540">
        <v>0</v>
      </c>
      <c r="Q105" s="542">
        <v>101</v>
      </c>
      <c r="R105" s="532">
        <f t="shared" si="24"/>
        <v>163</v>
      </c>
      <c r="S105" s="533">
        <f t="shared" si="25"/>
        <v>41.509433962264154</v>
      </c>
      <c r="T105" s="571">
        <f t="shared" si="23"/>
        <v>0</v>
      </c>
    </row>
    <row r="106" spans="1:20" ht="23.25" customHeight="1">
      <c r="A106" s="531">
        <v>13.8</v>
      </c>
      <c r="B106" s="512" t="s">
        <v>605</v>
      </c>
      <c r="C106" s="540">
        <f t="shared" si="29"/>
        <v>191</v>
      </c>
      <c r="D106" s="540">
        <v>152</v>
      </c>
      <c r="E106" s="540">
        <v>39</v>
      </c>
      <c r="F106" s="540">
        <v>0</v>
      </c>
      <c r="G106" s="540">
        <v>0</v>
      </c>
      <c r="H106" s="540">
        <f t="shared" si="30"/>
        <v>191</v>
      </c>
      <c r="I106" s="540">
        <f t="shared" si="31"/>
        <v>80</v>
      </c>
      <c r="J106" s="540">
        <v>19</v>
      </c>
      <c r="K106" s="540">
        <v>0</v>
      </c>
      <c r="L106" s="540">
        <v>61</v>
      </c>
      <c r="M106" s="540">
        <v>0</v>
      </c>
      <c r="N106" s="540">
        <v>0</v>
      </c>
      <c r="O106" s="540">
        <v>0</v>
      </c>
      <c r="P106" s="540">
        <v>0</v>
      </c>
      <c r="Q106" s="542">
        <v>111</v>
      </c>
      <c r="R106" s="532">
        <f t="shared" si="24"/>
        <v>172</v>
      </c>
      <c r="S106" s="533">
        <f t="shared" si="25"/>
        <v>23.75</v>
      </c>
      <c r="T106" s="571">
        <f t="shared" si="23"/>
        <v>0</v>
      </c>
    </row>
    <row r="107" spans="1:20" ht="23.25" customHeight="1">
      <c r="A107" s="531">
        <v>13.9</v>
      </c>
      <c r="B107" s="512" t="s">
        <v>606</v>
      </c>
      <c r="C107" s="540">
        <f t="shared" si="29"/>
        <v>252</v>
      </c>
      <c r="D107" s="540">
        <v>224</v>
      </c>
      <c r="E107" s="540">
        <v>28</v>
      </c>
      <c r="F107" s="540">
        <v>0</v>
      </c>
      <c r="G107" s="540">
        <v>0</v>
      </c>
      <c r="H107" s="540">
        <f t="shared" si="30"/>
        <v>252</v>
      </c>
      <c r="I107" s="540">
        <f t="shared" si="31"/>
        <v>150</v>
      </c>
      <c r="J107" s="540">
        <v>19</v>
      </c>
      <c r="K107" s="540">
        <v>0</v>
      </c>
      <c r="L107" s="540">
        <v>131</v>
      </c>
      <c r="M107" s="540">
        <v>0</v>
      </c>
      <c r="N107" s="540">
        <v>0</v>
      </c>
      <c r="O107" s="540">
        <v>0</v>
      </c>
      <c r="P107" s="540">
        <v>0</v>
      </c>
      <c r="Q107" s="542">
        <v>102</v>
      </c>
      <c r="R107" s="532">
        <f t="shared" si="24"/>
        <v>233</v>
      </c>
      <c r="S107" s="533">
        <f t="shared" si="25"/>
        <v>12.666666666666668</v>
      </c>
      <c r="T107" s="571">
        <f t="shared" si="23"/>
        <v>0</v>
      </c>
    </row>
    <row r="108" spans="1:20" ht="23.25" customHeight="1">
      <c r="A108" s="531" t="s">
        <v>610</v>
      </c>
      <c r="B108" s="512" t="s">
        <v>462</v>
      </c>
      <c r="C108" s="540">
        <f t="shared" si="29"/>
        <v>147</v>
      </c>
      <c r="D108" s="540">
        <v>104</v>
      </c>
      <c r="E108" s="540">
        <v>43</v>
      </c>
      <c r="F108" s="540">
        <v>0</v>
      </c>
      <c r="G108" s="540">
        <v>0</v>
      </c>
      <c r="H108" s="540">
        <f t="shared" si="30"/>
        <v>147</v>
      </c>
      <c r="I108" s="540">
        <f t="shared" si="31"/>
        <v>78</v>
      </c>
      <c r="J108" s="540">
        <v>29</v>
      </c>
      <c r="K108" s="540">
        <v>0</v>
      </c>
      <c r="L108" s="540">
        <v>49</v>
      </c>
      <c r="M108" s="540">
        <v>0</v>
      </c>
      <c r="N108" s="540">
        <v>0</v>
      </c>
      <c r="O108" s="540">
        <v>0</v>
      </c>
      <c r="P108" s="540">
        <v>0</v>
      </c>
      <c r="Q108" s="542">
        <v>69</v>
      </c>
      <c r="R108" s="532">
        <f t="shared" si="24"/>
        <v>118</v>
      </c>
      <c r="S108" s="533">
        <f t="shared" si="25"/>
        <v>37.17948717948718</v>
      </c>
      <c r="T108" s="571">
        <f t="shared" si="23"/>
        <v>0</v>
      </c>
    </row>
    <row r="109" spans="1:20" ht="23.25" customHeight="1">
      <c r="A109" s="531" t="s">
        <v>554</v>
      </c>
      <c r="B109" s="512" t="s">
        <v>607</v>
      </c>
      <c r="C109" s="540">
        <f t="shared" si="29"/>
        <v>129</v>
      </c>
      <c r="D109" s="540">
        <v>105</v>
      </c>
      <c r="E109" s="540">
        <v>24</v>
      </c>
      <c r="F109" s="540">
        <v>0</v>
      </c>
      <c r="G109" s="540">
        <v>0</v>
      </c>
      <c r="H109" s="540">
        <f t="shared" si="30"/>
        <v>129</v>
      </c>
      <c r="I109" s="540">
        <f t="shared" si="31"/>
        <v>38</v>
      </c>
      <c r="J109" s="540">
        <v>6</v>
      </c>
      <c r="K109" s="540">
        <v>0</v>
      </c>
      <c r="L109" s="540">
        <v>32</v>
      </c>
      <c r="M109" s="540">
        <v>0</v>
      </c>
      <c r="N109" s="540">
        <v>0</v>
      </c>
      <c r="O109" s="540">
        <v>0</v>
      </c>
      <c r="P109" s="540">
        <v>0</v>
      </c>
      <c r="Q109" s="542">
        <v>91</v>
      </c>
      <c r="R109" s="532"/>
      <c r="S109" s="533"/>
      <c r="T109" s="571"/>
    </row>
    <row r="110" spans="1:20" ht="23.25" customHeight="1">
      <c r="A110" s="531" t="s">
        <v>611</v>
      </c>
      <c r="B110" s="512" t="s">
        <v>608</v>
      </c>
      <c r="C110" s="540">
        <f t="shared" si="29"/>
        <v>212</v>
      </c>
      <c r="D110" s="540">
        <v>175</v>
      </c>
      <c r="E110" s="540">
        <v>37</v>
      </c>
      <c r="F110" s="540">
        <v>0</v>
      </c>
      <c r="G110" s="540">
        <v>0</v>
      </c>
      <c r="H110" s="540">
        <f t="shared" si="30"/>
        <v>212</v>
      </c>
      <c r="I110" s="540">
        <f t="shared" si="31"/>
        <v>73</v>
      </c>
      <c r="J110" s="540">
        <v>5</v>
      </c>
      <c r="K110" s="540">
        <v>0</v>
      </c>
      <c r="L110" s="540">
        <v>68</v>
      </c>
      <c r="M110" s="540">
        <v>0</v>
      </c>
      <c r="N110" s="540">
        <v>0</v>
      </c>
      <c r="O110" s="540">
        <v>0</v>
      </c>
      <c r="P110" s="540">
        <v>0</v>
      </c>
      <c r="Q110" s="542">
        <v>139</v>
      </c>
      <c r="R110" s="532"/>
      <c r="S110" s="533"/>
      <c r="T110" s="571"/>
    </row>
    <row r="111" spans="1:20" ht="23.25" customHeight="1">
      <c r="A111" s="531" t="s">
        <v>612</v>
      </c>
      <c r="B111" s="512" t="s">
        <v>609</v>
      </c>
      <c r="C111" s="540">
        <f t="shared" si="29"/>
        <v>177</v>
      </c>
      <c r="D111" s="540">
        <v>147</v>
      </c>
      <c r="E111" s="540">
        <v>30</v>
      </c>
      <c r="F111" s="540">
        <v>0</v>
      </c>
      <c r="G111" s="540">
        <v>0</v>
      </c>
      <c r="H111" s="540">
        <f t="shared" si="30"/>
        <v>177</v>
      </c>
      <c r="I111" s="540">
        <f t="shared" si="31"/>
        <v>62</v>
      </c>
      <c r="J111" s="540">
        <v>0</v>
      </c>
      <c r="K111" s="540">
        <v>0</v>
      </c>
      <c r="L111" s="540">
        <v>62</v>
      </c>
      <c r="M111" s="540">
        <v>0</v>
      </c>
      <c r="N111" s="540">
        <v>0</v>
      </c>
      <c r="O111" s="540">
        <v>0</v>
      </c>
      <c r="P111" s="540">
        <v>0</v>
      </c>
      <c r="Q111" s="542">
        <v>115</v>
      </c>
      <c r="R111" s="532"/>
      <c r="S111" s="533"/>
      <c r="T111" s="571"/>
    </row>
    <row r="112" spans="1:21" s="387" customFormat="1" ht="23.25" customHeight="1">
      <c r="A112" s="455">
        <v>14</v>
      </c>
      <c r="B112" s="456" t="s">
        <v>519</v>
      </c>
      <c r="C112" s="572">
        <f>C113+C114+C115+C116</f>
        <v>400</v>
      </c>
      <c r="D112" s="572">
        <f aca="true" t="shared" si="32" ref="D112:Q112">D113+D114+D115+D116</f>
        <v>247</v>
      </c>
      <c r="E112" s="572">
        <f t="shared" si="32"/>
        <v>153</v>
      </c>
      <c r="F112" s="572">
        <f t="shared" si="32"/>
        <v>9</v>
      </c>
      <c r="G112" s="572">
        <f t="shared" si="32"/>
        <v>0</v>
      </c>
      <c r="H112" s="572">
        <f t="shared" si="32"/>
        <v>391</v>
      </c>
      <c r="I112" s="572">
        <f t="shared" si="32"/>
        <v>273</v>
      </c>
      <c r="J112" s="572">
        <f t="shared" si="32"/>
        <v>114</v>
      </c>
      <c r="K112" s="572">
        <f t="shared" si="32"/>
        <v>4</v>
      </c>
      <c r="L112" s="572">
        <f t="shared" si="32"/>
        <v>155</v>
      </c>
      <c r="M112" s="572">
        <f t="shared" si="32"/>
        <v>0</v>
      </c>
      <c r="N112" s="572">
        <f t="shared" si="32"/>
        <v>0</v>
      </c>
      <c r="O112" s="572">
        <f t="shared" si="32"/>
        <v>0</v>
      </c>
      <c r="P112" s="572">
        <f t="shared" si="32"/>
        <v>0</v>
      </c>
      <c r="Q112" s="572">
        <f t="shared" si="32"/>
        <v>118</v>
      </c>
      <c r="R112" s="457">
        <f t="shared" si="24"/>
        <v>273</v>
      </c>
      <c r="S112" s="453">
        <f t="shared" si="25"/>
        <v>43.223443223443226</v>
      </c>
      <c r="T112" s="563">
        <f t="shared" si="23"/>
        <v>0</v>
      </c>
      <c r="U112" s="395"/>
    </row>
    <row r="113" spans="1:20" ht="23.25" customHeight="1">
      <c r="A113" s="516" t="s">
        <v>520</v>
      </c>
      <c r="B113" s="517" t="s">
        <v>521</v>
      </c>
      <c r="C113" s="540">
        <f>D113+E113</f>
        <v>94</v>
      </c>
      <c r="D113" s="540" t="s">
        <v>587</v>
      </c>
      <c r="E113" s="540" t="s">
        <v>588</v>
      </c>
      <c r="F113" s="540" t="s">
        <v>61</v>
      </c>
      <c r="G113" s="540" t="s">
        <v>539</v>
      </c>
      <c r="H113" s="540">
        <f>I113+Q113</f>
        <v>85</v>
      </c>
      <c r="I113" s="540">
        <f>P113+O113+N113+M113+L113+K113+J113</f>
        <v>49</v>
      </c>
      <c r="J113" s="540" t="s">
        <v>589</v>
      </c>
      <c r="K113" s="540" t="s">
        <v>43</v>
      </c>
      <c r="L113" s="540" t="s">
        <v>589</v>
      </c>
      <c r="M113" s="540" t="s">
        <v>539</v>
      </c>
      <c r="N113" s="540" t="s">
        <v>539</v>
      </c>
      <c r="O113" s="541" t="s">
        <v>539</v>
      </c>
      <c r="P113" s="542" t="s">
        <v>539</v>
      </c>
      <c r="Q113" s="542">
        <v>36</v>
      </c>
      <c r="R113" s="536">
        <f>L113+M113+N113+O113+P113+Q113</f>
        <v>60</v>
      </c>
      <c r="S113" s="533">
        <f t="shared" si="25"/>
        <v>51.02040816326531</v>
      </c>
      <c r="T113" s="571">
        <f t="shared" si="23"/>
        <v>0</v>
      </c>
    </row>
    <row r="114" spans="1:20" ht="23.25" customHeight="1">
      <c r="A114" s="516" t="s">
        <v>522</v>
      </c>
      <c r="B114" s="517" t="s">
        <v>523</v>
      </c>
      <c r="C114" s="540">
        <f>D114+E114</f>
        <v>152</v>
      </c>
      <c r="D114" s="540" t="s">
        <v>590</v>
      </c>
      <c r="E114" s="540" t="s">
        <v>591</v>
      </c>
      <c r="F114" s="540" t="s">
        <v>539</v>
      </c>
      <c r="G114" s="540" t="s">
        <v>539</v>
      </c>
      <c r="H114" s="540">
        <f>I114+Q114</f>
        <v>152</v>
      </c>
      <c r="I114" s="540">
        <f>P114+O114+N114+M114+L114+K114+J114</f>
        <v>124</v>
      </c>
      <c r="J114" s="540" t="s">
        <v>592</v>
      </c>
      <c r="K114" s="540" t="s">
        <v>47</v>
      </c>
      <c r="L114" s="540" t="s">
        <v>593</v>
      </c>
      <c r="M114" s="540" t="s">
        <v>539</v>
      </c>
      <c r="N114" s="540" t="s">
        <v>539</v>
      </c>
      <c r="O114" s="541" t="s">
        <v>539</v>
      </c>
      <c r="P114" s="542" t="s">
        <v>539</v>
      </c>
      <c r="Q114" s="542">
        <v>28</v>
      </c>
      <c r="R114" s="536">
        <f>L114+M114+N114+O114+P114+Q114</f>
        <v>92</v>
      </c>
      <c r="S114" s="533">
        <f t="shared" si="25"/>
        <v>48.38709677419355</v>
      </c>
      <c r="T114" s="571">
        <f t="shared" si="23"/>
        <v>0</v>
      </c>
    </row>
    <row r="115" spans="1:20" ht="23.25" customHeight="1">
      <c r="A115" s="516" t="s">
        <v>585</v>
      </c>
      <c r="B115" s="517" t="s">
        <v>583</v>
      </c>
      <c r="C115" s="540">
        <f>D115+E115</f>
        <v>50</v>
      </c>
      <c r="D115" s="540" t="s">
        <v>594</v>
      </c>
      <c r="E115" s="540" t="s">
        <v>81</v>
      </c>
      <c r="F115" s="540" t="s">
        <v>539</v>
      </c>
      <c r="G115" s="540" t="s">
        <v>539</v>
      </c>
      <c r="H115" s="540">
        <f>I115+Q115</f>
        <v>50</v>
      </c>
      <c r="I115" s="540">
        <f>P115+O115+N115+M115+L115+K115+J115</f>
        <v>23</v>
      </c>
      <c r="J115" s="540" t="s">
        <v>44</v>
      </c>
      <c r="K115" s="540" t="s">
        <v>539</v>
      </c>
      <c r="L115" s="540" t="s">
        <v>595</v>
      </c>
      <c r="M115" s="540" t="s">
        <v>539</v>
      </c>
      <c r="N115" s="540" t="s">
        <v>539</v>
      </c>
      <c r="O115" s="541" t="s">
        <v>539</v>
      </c>
      <c r="P115" s="542" t="s">
        <v>539</v>
      </c>
      <c r="Q115" s="542">
        <v>27</v>
      </c>
      <c r="R115" s="536">
        <f>L115+M115+N115+O115+P115+Q115</f>
        <v>48</v>
      </c>
      <c r="S115" s="533">
        <f t="shared" si="25"/>
        <v>8.695652173913043</v>
      </c>
      <c r="T115" s="571"/>
    </row>
    <row r="116" spans="1:20" ht="23.25" customHeight="1">
      <c r="A116" s="516" t="s">
        <v>586</v>
      </c>
      <c r="B116" s="517" t="s">
        <v>584</v>
      </c>
      <c r="C116" s="540">
        <f>D116+E116</f>
        <v>104</v>
      </c>
      <c r="D116" s="540" t="s">
        <v>578</v>
      </c>
      <c r="E116" s="540" t="s">
        <v>596</v>
      </c>
      <c r="F116" s="540" t="s">
        <v>539</v>
      </c>
      <c r="G116" s="540" t="s">
        <v>539</v>
      </c>
      <c r="H116" s="540">
        <f>I116+Q116</f>
        <v>104</v>
      </c>
      <c r="I116" s="540">
        <f>P116+O116+N116+M116+L116+K116+J116</f>
        <v>77</v>
      </c>
      <c r="J116" s="540" t="s">
        <v>597</v>
      </c>
      <c r="K116" s="540" t="s">
        <v>539</v>
      </c>
      <c r="L116" s="540" t="s">
        <v>598</v>
      </c>
      <c r="M116" s="540" t="s">
        <v>539</v>
      </c>
      <c r="N116" s="540" t="s">
        <v>539</v>
      </c>
      <c r="O116" s="541" t="s">
        <v>539</v>
      </c>
      <c r="P116" s="542" t="s">
        <v>539</v>
      </c>
      <c r="Q116" s="542">
        <v>27</v>
      </c>
      <c r="R116" s="536">
        <f>L116+M116+N116+O116+P116+Q116</f>
        <v>73</v>
      </c>
      <c r="S116" s="533">
        <f t="shared" si="25"/>
        <v>40.25974025974026</v>
      </c>
      <c r="T116" s="571"/>
    </row>
    <row r="117" spans="1:21" s="387" customFormat="1" ht="23.25" customHeight="1">
      <c r="A117" s="455">
        <v>15</v>
      </c>
      <c r="B117" s="456" t="s">
        <v>524</v>
      </c>
      <c r="C117" s="572">
        <f>SUM(C118:C121)</f>
        <v>263</v>
      </c>
      <c r="D117" s="572">
        <f aca="true" t="shared" si="33" ref="D117:R117">SUM(D118:D121)</f>
        <v>168</v>
      </c>
      <c r="E117" s="572">
        <f t="shared" si="33"/>
        <v>95</v>
      </c>
      <c r="F117" s="572">
        <f t="shared" si="33"/>
        <v>3</v>
      </c>
      <c r="G117" s="572">
        <f t="shared" si="33"/>
        <v>0</v>
      </c>
      <c r="H117" s="572">
        <f t="shared" si="33"/>
        <v>260</v>
      </c>
      <c r="I117" s="572">
        <f t="shared" si="33"/>
        <v>143</v>
      </c>
      <c r="J117" s="572">
        <f t="shared" si="33"/>
        <v>51</v>
      </c>
      <c r="K117" s="572">
        <f t="shared" si="33"/>
        <v>1</v>
      </c>
      <c r="L117" s="572">
        <f t="shared" si="33"/>
        <v>91</v>
      </c>
      <c r="M117" s="572">
        <f t="shared" si="33"/>
        <v>0</v>
      </c>
      <c r="N117" s="572">
        <f t="shared" si="33"/>
        <v>0</v>
      </c>
      <c r="O117" s="572">
        <f t="shared" si="33"/>
        <v>0</v>
      </c>
      <c r="P117" s="572">
        <f t="shared" si="33"/>
        <v>0</v>
      </c>
      <c r="Q117" s="572">
        <f t="shared" si="33"/>
        <v>117</v>
      </c>
      <c r="R117" s="452">
        <f t="shared" si="33"/>
        <v>208</v>
      </c>
      <c r="S117" s="453">
        <f t="shared" si="25"/>
        <v>36.36363636363637</v>
      </c>
      <c r="T117" s="563">
        <f t="shared" si="23"/>
        <v>0</v>
      </c>
      <c r="U117" s="395"/>
    </row>
    <row r="118" spans="1:20" ht="23.25" customHeight="1">
      <c r="A118" s="531">
        <v>15.1</v>
      </c>
      <c r="B118" s="582" t="s">
        <v>525</v>
      </c>
      <c r="C118" s="540">
        <f>D118+E118</f>
        <v>45</v>
      </c>
      <c r="D118" s="540">
        <v>20</v>
      </c>
      <c r="E118" s="540">
        <v>25</v>
      </c>
      <c r="F118" s="540">
        <v>1</v>
      </c>
      <c r="G118" s="540">
        <v>0</v>
      </c>
      <c r="H118" s="540">
        <f>I118+Q118</f>
        <v>44</v>
      </c>
      <c r="I118" s="540">
        <f>J118+K118+L118+M118+N118+O118+P118</f>
        <v>34</v>
      </c>
      <c r="J118" s="540">
        <v>15</v>
      </c>
      <c r="K118" s="540">
        <v>0</v>
      </c>
      <c r="L118" s="540">
        <f>C118-F118-J118-K118-M118-N118-O118-P118-Q118</f>
        <v>19</v>
      </c>
      <c r="M118" s="540">
        <v>0</v>
      </c>
      <c r="N118" s="540">
        <v>0</v>
      </c>
      <c r="O118" s="540">
        <v>0</v>
      </c>
      <c r="P118" s="540">
        <v>0</v>
      </c>
      <c r="Q118" s="593">
        <v>10</v>
      </c>
      <c r="R118" s="532">
        <f t="shared" si="24"/>
        <v>29</v>
      </c>
      <c r="S118" s="533">
        <f t="shared" si="25"/>
        <v>44.11764705882353</v>
      </c>
      <c r="T118" s="571">
        <f t="shared" si="23"/>
        <v>0</v>
      </c>
    </row>
    <row r="119" spans="1:20" ht="23.25" customHeight="1">
      <c r="A119" s="531">
        <v>15.2</v>
      </c>
      <c r="B119" s="582" t="s">
        <v>555</v>
      </c>
      <c r="C119" s="540">
        <f>D119+E119</f>
        <v>88</v>
      </c>
      <c r="D119" s="540">
        <v>61</v>
      </c>
      <c r="E119" s="540">
        <v>27</v>
      </c>
      <c r="F119" s="540">
        <v>0</v>
      </c>
      <c r="G119" s="540">
        <v>0</v>
      </c>
      <c r="H119" s="540">
        <f>I119+Q119</f>
        <v>88</v>
      </c>
      <c r="I119" s="540">
        <f>J119+K119+L119+M119+N119+O119+P119</f>
        <v>45</v>
      </c>
      <c r="J119" s="540">
        <v>13</v>
      </c>
      <c r="K119" s="540">
        <v>0</v>
      </c>
      <c r="L119" s="540">
        <f>C119-F119-J119-K119-M119-N119-O119-P119-Q119</f>
        <v>32</v>
      </c>
      <c r="M119" s="540">
        <v>0</v>
      </c>
      <c r="N119" s="540">
        <v>0</v>
      </c>
      <c r="O119" s="540" t="s">
        <v>539</v>
      </c>
      <c r="P119" s="540" t="s">
        <v>539</v>
      </c>
      <c r="Q119" s="593">
        <v>43</v>
      </c>
      <c r="R119" s="532">
        <f t="shared" si="24"/>
        <v>75</v>
      </c>
      <c r="S119" s="533">
        <f t="shared" si="25"/>
        <v>28.888888888888886</v>
      </c>
      <c r="T119" s="571">
        <f t="shared" si="23"/>
        <v>0</v>
      </c>
    </row>
    <row r="120" spans="1:20" ht="23.25" customHeight="1">
      <c r="A120" s="531">
        <v>15.3</v>
      </c>
      <c r="B120" s="582" t="s">
        <v>556</v>
      </c>
      <c r="C120" s="540">
        <f>D120+E120</f>
        <v>67</v>
      </c>
      <c r="D120" s="540">
        <v>41</v>
      </c>
      <c r="E120" s="540">
        <v>26</v>
      </c>
      <c r="F120" s="540">
        <v>0</v>
      </c>
      <c r="G120" s="540">
        <v>0</v>
      </c>
      <c r="H120" s="540">
        <f>I120+Q120</f>
        <v>67</v>
      </c>
      <c r="I120" s="540">
        <f>J120+K120+L120+M120+N120+O120+P120</f>
        <v>33</v>
      </c>
      <c r="J120" s="540">
        <v>13</v>
      </c>
      <c r="K120" s="540">
        <v>1</v>
      </c>
      <c r="L120" s="540">
        <f>C120-F120-J120-K120-M120-N120-O120-P120-Q120</f>
        <v>19</v>
      </c>
      <c r="M120" s="540">
        <v>0</v>
      </c>
      <c r="N120" s="540">
        <v>0</v>
      </c>
      <c r="O120" s="540">
        <v>0</v>
      </c>
      <c r="P120" s="540">
        <v>0</v>
      </c>
      <c r="Q120" s="593">
        <v>34</v>
      </c>
      <c r="R120" s="532">
        <f t="shared" si="24"/>
        <v>53</v>
      </c>
      <c r="S120" s="533">
        <f t="shared" si="25"/>
        <v>42.42424242424242</v>
      </c>
      <c r="T120" s="571">
        <f t="shared" si="23"/>
        <v>0</v>
      </c>
    </row>
    <row r="121" spans="1:21" s="538" customFormat="1" ht="29.25" customHeight="1">
      <c r="A121" s="531">
        <v>15.4</v>
      </c>
      <c r="B121" s="582" t="s">
        <v>557</v>
      </c>
      <c r="C121" s="540">
        <f>D121+E121</f>
        <v>63</v>
      </c>
      <c r="D121" s="540">
        <v>46</v>
      </c>
      <c r="E121" s="540">
        <v>17</v>
      </c>
      <c r="F121" s="540">
        <v>2</v>
      </c>
      <c r="G121" s="540">
        <v>0</v>
      </c>
      <c r="H121" s="540">
        <f>I121+Q121</f>
        <v>61</v>
      </c>
      <c r="I121" s="540">
        <f>J121+K121+L121+M121+N121+O121+P121</f>
        <v>31</v>
      </c>
      <c r="J121" s="540">
        <v>10</v>
      </c>
      <c r="K121" s="540">
        <v>0</v>
      </c>
      <c r="L121" s="540">
        <f>C121-F121-J121-K121-M121-N121-O121-P121-Q121</f>
        <v>21</v>
      </c>
      <c r="M121" s="540">
        <v>0</v>
      </c>
      <c r="N121" s="540">
        <v>0</v>
      </c>
      <c r="O121" s="540" t="s">
        <v>539</v>
      </c>
      <c r="P121" s="540" t="s">
        <v>539</v>
      </c>
      <c r="Q121" s="593">
        <v>30</v>
      </c>
      <c r="R121" s="532">
        <f t="shared" si="24"/>
        <v>51</v>
      </c>
      <c r="S121" s="533">
        <f t="shared" si="25"/>
        <v>32.25806451612903</v>
      </c>
      <c r="T121" s="571">
        <f t="shared" si="23"/>
        <v>0</v>
      </c>
      <c r="U121" s="537"/>
    </row>
    <row r="122" spans="1:21" s="414" customFormat="1" ht="19.5" customHeight="1">
      <c r="A122" s="901"/>
      <c r="B122" s="901"/>
      <c r="C122" s="901"/>
      <c r="D122" s="901"/>
      <c r="E122" s="901"/>
      <c r="F122" s="415"/>
      <c r="G122" s="416"/>
      <c r="H122" s="416"/>
      <c r="I122" s="416"/>
      <c r="J122" s="416"/>
      <c r="K122" s="416"/>
      <c r="L122" s="899" t="s">
        <v>581</v>
      </c>
      <c r="M122" s="899"/>
      <c r="N122" s="899"/>
      <c r="O122" s="899"/>
      <c r="P122" s="899"/>
      <c r="Q122" s="899"/>
      <c r="R122" s="899"/>
      <c r="S122" s="899"/>
      <c r="T122" s="445"/>
      <c r="U122" s="417"/>
    </row>
    <row r="123" spans="1:21" s="401" customFormat="1" ht="18.75">
      <c r="A123" s="418"/>
      <c r="B123" s="900" t="s">
        <v>4</v>
      </c>
      <c r="C123" s="900"/>
      <c r="D123" s="900"/>
      <c r="E123" s="900"/>
      <c r="F123" s="419"/>
      <c r="G123" s="419"/>
      <c r="H123" s="419"/>
      <c r="I123" s="419"/>
      <c r="J123" s="419"/>
      <c r="K123" s="419"/>
      <c r="L123" s="419"/>
      <c r="M123" s="419"/>
      <c r="N123" s="419"/>
      <c r="O123" s="446" t="str">
        <f>'[8]Thong tin'!B7</f>
        <v>
PHÓ CỤC TRƯỞNG</v>
      </c>
      <c r="P123" s="446"/>
      <c r="Q123" s="446"/>
      <c r="R123" s="446"/>
      <c r="S123" s="446"/>
      <c r="T123" s="446"/>
      <c r="U123" s="402"/>
    </row>
    <row r="124" spans="1:21" s="401" customFormat="1" ht="18.75">
      <c r="A124" s="420"/>
      <c r="B124" s="421"/>
      <c r="C124" s="432"/>
      <c r="D124" s="422"/>
      <c r="E124" s="422"/>
      <c r="F124" s="422"/>
      <c r="G124" s="422"/>
      <c r="H124" s="432"/>
      <c r="I124" s="432"/>
      <c r="J124" s="422"/>
      <c r="K124" s="422"/>
      <c r="L124" s="422"/>
      <c r="M124" s="422"/>
      <c r="N124" s="422"/>
      <c r="O124" s="422"/>
      <c r="P124" s="422"/>
      <c r="Q124" s="422"/>
      <c r="R124" s="432"/>
      <c r="S124" s="432"/>
      <c r="T124" s="423"/>
      <c r="U124" s="402"/>
    </row>
    <row r="125" spans="1:21" s="401" customFormat="1" ht="18.75">
      <c r="A125" s="420"/>
      <c r="B125" s="421"/>
      <c r="C125" s="432"/>
      <c r="D125" s="422"/>
      <c r="E125" s="422"/>
      <c r="F125" s="422"/>
      <c r="G125" s="422"/>
      <c r="H125" s="432"/>
      <c r="I125" s="432"/>
      <c r="J125" s="422"/>
      <c r="K125" s="422"/>
      <c r="L125" s="422"/>
      <c r="M125" s="422"/>
      <c r="N125" s="422"/>
      <c r="O125" s="422"/>
      <c r="P125" s="422"/>
      <c r="Q125" s="422"/>
      <c r="R125" s="432"/>
      <c r="S125" s="432"/>
      <c r="T125" s="423"/>
      <c r="U125" s="402"/>
    </row>
    <row r="126" spans="1:21" s="401" customFormat="1" ht="18.75">
      <c r="A126" s="424"/>
      <c r="B126" s="898"/>
      <c r="C126" s="898"/>
      <c r="D126" s="898"/>
      <c r="E126" s="422"/>
      <c r="F126" s="422"/>
      <c r="G126" s="422"/>
      <c r="H126" s="432"/>
      <c r="I126" s="432"/>
      <c r="J126" s="422"/>
      <c r="K126" s="422"/>
      <c r="L126" s="422"/>
      <c r="M126" s="422"/>
      <c r="N126" s="422"/>
      <c r="O126" s="422"/>
      <c r="P126" s="422"/>
      <c r="Q126" s="897"/>
      <c r="R126" s="897"/>
      <c r="S126" s="897"/>
      <c r="T126" s="423"/>
      <c r="U126" s="402"/>
    </row>
    <row r="127" spans="1:21" s="401" customFormat="1" ht="15.75" customHeight="1">
      <c r="A127" s="425"/>
      <c r="B127" s="421"/>
      <c r="C127" s="432"/>
      <c r="D127" s="422"/>
      <c r="E127" s="422"/>
      <c r="F127" s="422"/>
      <c r="G127" s="422"/>
      <c r="H127" s="432"/>
      <c r="I127" s="432"/>
      <c r="J127" s="422"/>
      <c r="K127" s="422"/>
      <c r="L127" s="422"/>
      <c r="M127" s="422"/>
      <c r="N127" s="422"/>
      <c r="O127" s="422"/>
      <c r="P127" s="422"/>
      <c r="Q127" s="422"/>
      <c r="R127" s="432"/>
      <c r="S127" s="432"/>
      <c r="T127" s="423"/>
      <c r="U127" s="402"/>
    </row>
    <row r="128" spans="1:21" s="401" customFormat="1" ht="15.75" customHeight="1">
      <c r="A128" s="424"/>
      <c r="B128" s="898"/>
      <c r="C128" s="898"/>
      <c r="D128" s="898"/>
      <c r="E128" s="898"/>
      <c r="F128" s="898"/>
      <c r="G128" s="898"/>
      <c r="H128" s="898"/>
      <c r="I128" s="898"/>
      <c r="J128" s="898"/>
      <c r="K128" s="898"/>
      <c r="L128" s="898"/>
      <c r="M128" s="898"/>
      <c r="N128" s="898"/>
      <c r="O128" s="898"/>
      <c r="P128" s="898"/>
      <c r="Q128" s="422"/>
      <c r="R128" s="432"/>
      <c r="S128" s="432"/>
      <c r="T128" s="423"/>
      <c r="U128" s="402"/>
    </row>
    <row r="129" spans="1:21" s="401" customFormat="1" ht="18.75">
      <c r="A129" s="424"/>
      <c r="B129" s="898" t="str">
        <f>'Thong tin'!B5</f>
        <v>Trần Thị Minh</v>
      </c>
      <c r="C129" s="898"/>
      <c r="D129" s="898"/>
      <c r="E129" s="898"/>
      <c r="F129" s="422"/>
      <c r="G129" s="422"/>
      <c r="H129" s="432"/>
      <c r="I129" s="432"/>
      <c r="J129" s="422"/>
      <c r="K129" s="422"/>
      <c r="L129" s="422"/>
      <c r="M129" s="422"/>
      <c r="N129" s="422"/>
      <c r="O129" s="447" t="str">
        <f>'Thong tin'!B6</f>
        <v>Nguyễn Thị Mai Hoa</v>
      </c>
      <c r="P129" s="447"/>
      <c r="Q129" s="447"/>
      <c r="R129" s="447"/>
      <c r="S129" s="447"/>
      <c r="T129" s="447"/>
      <c r="U129" s="402"/>
    </row>
    <row r="130" spans="1:21" s="401" customFormat="1" ht="33" customHeight="1">
      <c r="A130" s="913"/>
      <c r="B130" s="914"/>
      <c r="C130" s="914"/>
      <c r="D130" s="914"/>
      <c r="E130" s="914"/>
      <c r="F130" s="914"/>
      <c r="G130" s="914"/>
      <c r="H130" s="914"/>
      <c r="I130" s="914"/>
      <c r="J130" s="914"/>
      <c r="K130" s="914"/>
      <c r="L130" s="914"/>
      <c r="M130" s="914"/>
      <c r="N130" s="914"/>
      <c r="O130" s="914"/>
      <c r="P130" s="914"/>
      <c r="Q130" s="914"/>
      <c r="R130" s="914"/>
      <c r="S130" s="914"/>
      <c r="T130" s="448"/>
      <c r="U130" s="402"/>
    </row>
    <row r="131" spans="2:19" ht="18.75">
      <c r="B131" s="386"/>
      <c r="C131" s="392"/>
      <c r="D131" s="379"/>
      <c r="E131" s="379"/>
      <c r="F131" s="379"/>
      <c r="G131" s="379"/>
      <c r="H131" s="392"/>
      <c r="I131" s="392"/>
      <c r="J131" s="379"/>
      <c r="K131" s="379"/>
      <c r="L131" s="379"/>
      <c r="M131" s="379"/>
      <c r="N131" s="379"/>
      <c r="O131" s="379"/>
      <c r="P131" s="379"/>
      <c r="Q131" s="392"/>
      <c r="R131" s="392"/>
      <c r="S131" s="379"/>
    </row>
  </sheetData>
  <sheetProtection/>
  <mergeCells count="33">
    <mergeCell ref="A130:S130"/>
    <mergeCell ref="A2:D2"/>
    <mergeCell ref="P2:S2"/>
    <mergeCell ref="A3:D3"/>
    <mergeCell ref="R6:R9"/>
    <mergeCell ref="E8:E9"/>
    <mergeCell ref="J8:P8"/>
    <mergeCell ref="A6:B9"/>
    <mergeCell ref="C7:C9"/>
    <mergeCell ref="D7:E7"/>
    <mergeCell ref="A11:B11"/>
    <mergeCell ref="E1:O1"/>
    <mergeCell ref="E2:O2"/>
    <mergeCell ref="E3:O3"/>
    <mergeCell ref="F6:F9"/>
    <mergeCell ref="G6:G9"/>
    <mergeCell ref="H6:Q6"/>
    <mergeCell ref="C6:E6"/>
    <mergeCell ref="H7:H9"/>
    <mergeCell ref="Q7:Q9"/>
    <mergeCell ref="D8:D9"/>
    <mergeCell ref="A10:B10"/>
    <mergeCell ref="P4:S4"/>
    <mergeCell ref="I8:I9"/>
    <mergeCell ref="S6:S9"/>
    <mergeCell ref="I7:P7"/>
    <mergeCell ref="Q126:S126"/>
    <mergeCell ref="B128:P128"/>
    <mergeCell ref="B129:E129"/>
    <mergeCell ref="L122:S122"/>
    <mergeCell ref="B123:E123"/>
    <mergeCell ref="B126:D126"/>
    <mergeCell ref="A122:E122"/>
  </mergeCells>
  <conditionalFormatting sqref="C91:C93">
    <cfRule type="expression" priority="9" dxfId="0" stopIfTrue="1">
      <formula>$C$16&lt;&gt;$F$16+$H$16</formula>
    </cfRule>
  </conditionalFormatting>
  <conditionalFormatting sqref="I91:I93">
    <cfRule type="expression" priority="8" dxfId="0" stopIfTrue="1">
      <formula>$I$16&lt;&gt;SUM($J$16:$P$16)</formula>
    </cfRule>
  </conditionalFormatting>
  <conditionalFormatting sqref="H91:H93">
    <cfRule type="expression" priority="7" dxfId="0" stopIfTrue="1">
      <formula>$H$16&lt;&gt;$I$16+$Q$16</formula>
    </cfRule>
  </conditionalFormatting>
  <printOptions/>
  <pageMargins left="0.3937007874015748" right="0" top="0" bottom="0" header="0.4330708661417323" footer="0.2755905511811024"/>
  <pageSetup horizontalDpi="600" verticalDpi="600" orientation="landscape" paperSize="9" scale="88" r:id="rId2"/>
  <headerFooter differentFirst="1" alignWithMargins="0">
    <oddFooter>&amp;C&amp;P</oddFooter>
  </headerFooter>
  <ignoredErrors>
    <ignoredError sqref="R33 D94:L94 R95:R97 R99:R108 R77:R89 R76 R72:S72 R41:S43 S76 R49:S56 R34:R38 R67:S69 R94 R90:S90 S94 S58:S62 S44:S46 R91:S92 S12 I18:I31 R13:R31 S14:S31 R63:S66 H67:I71" formulaRange="1"/>
    <ignoredError sqref="C74:Q75 C95:Q97 C64:H64 C58:H62 J73" unlockedFormula="1"/>
    <ignoredError sqref="R73:S75 R58:R62 I64 I58:I62 S47:S48 I45:I46 S32 R57:S57 R48 R44:R46 S13 H72:I72 C73:G73 I63 H73:I73" formulaRange="1" unlockedFormula="1"/>
    <ignoredError sqref="H117 R117 C47:R47 C44:Q44 C48:D48 C45:H46 J45:Q46 C98:Q98 H112 F48:I48 K48:Q48 J63:Q63 C72:G72 C63:H63" formula="1"/>
    <ignoredError sqref="S113 R113:R114 D113:M114 D115:M115 Q115:R115 N116:P116 Q116:R116 D116:M116 N115:P115 N113:P114" numberStoredAsText="1"/>
    <ignoredError sqref="S47:S48" evalError="1" formulaRange="1"/>
    <ignoredError sqref="I45:I46 S32 R57:S57 R48 R44:R46 S13 H72:I72" formula="1" formulaRange="1"/>
    <ignoredError sqref="C73:G73" formula="1" unlockedFormula="1"/>
    <ignoredError sqref="I63 H73:I73" formula="1" formulaRange="1" unlockedFormula="1"/>
  </ignoredErrors>
  <drawing r:id="rId1"/>
</worksheet>
</file>

<file path=xl/worksheets/sheet14.xml><?xml version="1.0" encoding="utf-8"?>
<worksheet xmlns="http://schemas.openxmlformats.org/spreadsheetml/2006/main" xmlns:r="http://schemas.openxmlformats.org/officeDocument/2006/relationships">
  <sheetPr>
    <tabColor indexed="19"/>
  </sheetPr>
  <dimension ref="A1:AJ130"/>
  <sheetViews>
    <sheetView showZeros="0" tabSelected="1" view="pageBreakPreview" zoomScale="85" zoomScaleNormal="85" zoomScaleSheetLayoutView="85" zoomScalePageLayoutView="0" workbookViewId="0" topLeftCell="A1">
      <selection activeCell="C63" sqref="C63:R63"/>
    </sheetView>
  </sheetViews>
  <sheetFormatPr defaultColWidth="9.00390625" defaultRowHeight="15.75"/>
  <cols>
    <col min="1" max="1" width="4.375" style="401" customWidth="1"/>
    <col min="2" max="2" width="17.50390625" style="401" customWidth="1"/>
    <col min="3" max="3" width="9.50390625" style="430" customWidth="1"/>
    <col min="4" max="4" width="9.375" style="402" customWidth="1"/>
    <col min="5" max="5" width="9.875" style="402" customWidth="1"/>
    <col min="6" max="6" width="8.125" style="402" customWidth="1"/>
    <col min="7" max="7" width="7.75390625" style="402" customWidth="1"/>
    <col min="8" max="8" width="9.375" style="430" customWidth="1"/>
    <col min="9" max="9" width="10.25390625" style="430" customWidth="1"/>
    <col min="10" max="10" width="8.625" style="402" customWidth="1"/>
    <col min="11" max="11" width="8.50390625" style="402" customWidth="1"/>
    <col min="12" max="12" width="5.875" style="402" customWidth="1"/>
    <col min="13" max="13" width="10.00390625" style="402" customWidth="1"/>
    <col min="14" max="14" width="7.50390625" style="402" customWidth="1"/>
    <col min="15" max="15" width="8.625" style="402" customWidth="1"/>
    <col min="16" max="16" width="6.375" style="402" customWidth="1"/>
    <col min="17" max="17" width="8.625" style="402" customWidth="1"/>
    <col min="18" max="18" width="9.75390625" style="430" customWidth="1"/>
    <col min="19" max="19" width="10.375" style="430" customWidth="1"/>
    <col min="20" max="20" width="6.75390625" style="429" customWidth="1"/>
    <col min="21" max="21" width="13.125" style="402" bestFit="1" customWidth="1"/>
    <col min="22" max="16384" width="9.00390625" style="401" customWidth="1"/>
  </cols>
  <sheetData>
    <row r="1" spans="1:20" ht="20.25" customHeight="1">
      <c r="A1" s="401" t="s">
        <v>28</v>
      </c>
      <c r="E1" s="931" t="s">
        <v>64</v>
      </c>
      <c r="F1" s="931"/>
      <c r="G1" s="931"/>
      <c r="H1" s="931"/>
      <c r="I1" s="931"/>
      <c r="J1" s="931"/>
      <c r="K1" s="931"/>
      <c r="L1" s="931"/>
      <c r="M1" s="931"/>
      <c r="N1" s="931"/>
      <c r="O1" s="931"/>
      <c r="P1" s="931"/>
      <c r="Q1" s="403" t="s">
        <v>429</v>
      </c>
      <c r="R1" s="436"/>
      <c r="S1" s="436"/>
      <c r="T1" s="404"/>
    </row>
    <row r="2" spans="1:20" ht="17.25" customHeight="1">
      <c r="A2" s="925" t="s">
        <v>238</v>
      </c>
      <c r="B2" s="925"/>
      <c r="C2" s="925"/>
      <c r="D2" s="925"/>
      <c r="E2" s="932" t="s">
        <v>34</v>
      </c>
      <c r="F2" s="932"/>
      <c r="G2" s="932"/>
      <c r="H2" s="932"/>
      <c r="I2" s="932"/>
      <c r="J2" s="932"/>
      <c r="K2" s="932"/>
      <c r="L2" s="932"/>
      <c r="M2" s="932"/>
      <c r="N2" s="932"/>
      <c r="O2" s="932"/>
      <c r="P2" s="932"/>
      <c r="Q2" s="923" t="str">
        <f>'[8]Thong tin'!B4</f>
        <v>CTHADS Hải Phòng</v>
      </c>
      <c r="R2" s="923"/>
      <c r="S2" s="923"/>
      <c r="T2" s="923"/>
    </row>
    <row r="3" spans="1:20" ht="18" customHeight="1">
      <c r="A3" s="925" t="s">
        <v>239</v>
      </c>
      <c r="B3" s="925"/>
      <c r="C3" s="925"/>
      <c r="D3" s="925"/>
      <c r="E3" s="933" t="s">
        <v>580</v>
      </c>
      <c r="F3" s="933"/>
      <c r="G3" s="933"/>
      <c r="H3" s="933"/>
      <c r="I3" s="933"/>
      <c r="J3" s="933"/>
      <c r="K3" s="933"/>
      <c r="L3" s="933"/>
      <c r="M3" s="933"/>
      <c r="N3" s="933"/>
      <c r="O3" s="933"/>
      <c r="P3" s="933"/>
      <c r="Q3" s="403" t="s">
        <v>534</v>
      </c>
      <c r="R3" s="437"/>
      <c r="S3" s="436"/>
      <c r="T3" s="404"/>
    </row>
    <row r="4" spans="1:20" ht="14.25" customHeight="1">
      <c r="A4" s="405" t="s">
        <v>117</v>
      </c>
      <c r="Q4" s="924" t="s">
        <v>301</v>
      </c>
      <c r="R4" s="924"/>
      <c r="S4" s="924"/>
      <c r="T4" s="924"/>
    </row>
    <row r="5" spans="17:20" ht="21.75" customHeight="1" thickBot="1">
      <c r="Q5" s="930" t="s">
        <v>430</v>
      </c>
      <c r="R5" s="930"/>
      <c r="S5" s="930"/>
      <c r="T5" s="930"/>
    </row>
    <row r="6" spans="1:36" ht="18.75" customHeight="1" thickTop="1">
      <c r="A6" s="939" t="s">
        <v>55</v>
      </c>
      <c r="B6" s="940"/>
      <c r="C6" s="935" t="s">
        <v>118</v>
      </c>
      <c r="D6" s="935"/>
      <c r="E6" s="935"/>
      <c r="F6" s="927" t="s">
        <v>99</v>
      </c>
      <c r="G6" s="927" t="s">
        <v>119</v>
      </c>
      <c r="H6" s="929" t="s">
        <v>100</v>
      </c>
      <c r="I6" s="929"/>
      <c r="J6" s="929"/>
      <c r="K6" s="929"/>
      <c r="L6" s="929"/>
      <c r="M6" s="929"/>
      <c r="N6" s="929"/>
      <c r="O6" s="929"/>
      <c r="P6" s="929"/>
      <c r="Q6" s="929"/>
      <c r="R6" s="929"/>
      <c r="S6" s="946" t="s">
        <v>243</v>
      </c>
      <c r="T6" s="944" t="s">
        <v>428</v>
      </c>
      <c r="U6" s="403"/>
      <c r="V6" s="406"/>
      <c r="W6" s="406"/>
      <c r="X6" s="406"/>
      <c r="Y6" s="406"/>
      <c r="Z6" s="406"/>
      <c r="AA6" s="406"/>
      <c r="AB6" s="406"/>
      <c r="AC6" s="406"/>
      <c r="AD6" s="406"/>
      <c r="AE6" s="406"/>
      <c r="AF6" s="406"/>
      <c r="AG6" s="406"/>
      <c r="AH6" s="406"/>
      <c r="AI6" s="406"/>
      <c r="AJ6" s="406"/>
    </row>
    <row r="7" spans="1:36" s="407" customFormat="1" ht="21" customHeight="1">
      <c r="A7" s="941"/>
      <c r="B7" s="942"/>
      <c r="C7" s="936" t="s">
        <v>42</v>
      </c>
      <c r="D7" s="934" t="s">
        <v>7</v>
      </c>
      <c r="E7" s="934"/>
      <c r="F7" s="928"/>
      <c r="G7" s="928"/>
      <c r="H7" s="926" t="s">
        <v>100</v>
      </c>
      <c r="I7" s="934" t="s">
        <v>101</v>
      </c>
      <c r="J7" s="934"/>
      <c r="K7" s="934"/>
      <c r="L7" s="934"/>
      <c r="M7" s="934"/>
      <c r="N7" s="934"/>
      <c r="O7" s="934"/>
      <c r="P7" s="934"/>
      <c r="Q7" s="934"/>
      <c r="R7" s="926" t="s">
        <v>120</v>
      </c>
      <c r="S7" s="936"/>
      <c r="T7" s="945"/>
      <c r="U7" s="403"/>
      <c r="V7" s="406"/>
      <c r="W7" s="406"/>
      <c r="X7" s="406"/>
      <c r="Y7" s="406"/>
      <c r="Z7" s="406"/>
      <c r="AA7" s="406"/>
      <c r="AB7" s="406"/>
      <c r="AC7" s="406"/>
      <c r="AD7" s="406"/>
      <c r="AE7" s="406"/>
      <c r="AF7" s="406"/>
      <c r="AG7" s="406"/>
      <c r="AH7" s="406"/>
      <c r="AI7" s="406"/>
      <c r="AJ7" s="406"/>
    </row>
    <row r="8" spans="1:36" ht="21.75" customHeight="1">
      <c r="A8" s="941"/>
      <c r="B8" s="942"/>
      <c r="C8" s="936"/>
      <c r="D8" s="934" t="s">
        <v>121</v>
      </c>
      <c r="E8" s="934" t="s">
        <v>122</v>
      </c>
      <c r="F8" s="928"/>
      <c r="G8" s="928"/>
      <c r="H8" s="926"/>
      <c r="I8" s="926" t="s">
        <v>427</v>
      </c>
      <c r="J8" s="934" t="s">
        <v>7</v>
      </c>
      <c r="K8" s="934"/>
      <c r="L8" s="934"/>
      <c r="M8" s="934"/>
      <c r="N8" s="934"/>
      <c r="O8" s="934"/>
      <c r="P8" s="934"/>
      <c r="Q8" s="934"/>
      <c r="R8" s="926"/>
      <c r="S8" s="936"/>
      <c r="T8" s="945"/>
      <c r="U8" s="403"/>
      <c r="V8" s="406"/>
      <c r="W8" s="406"/>
      <c r="X8" s="406"/>
      <c r="Y8" s="406"/>
      <c r="Z8" s="406"/>
      <c r="AA8" s="406"/>
      <c r="AB8" s="406"/>
      <c r="AC8" s="406"/>
      <c r="AD8" s="406"/>
      <c r="AE8" s="406"/>
      <c r="AF8" s="406"/>
      <c r="AG8" s="406"/>
      <c r="AH8" s="406"/>
      <c r="AI8" s="406"/>
      <c r="AJ8" s="406"/>
    </row>
    <row r="9" spans="1:36" ht="84" customHeight="1">
      <c r="A9" s="941"/>
      <c r="B9" s="942"/>
      <c r="C9" s="936"/>
      <c r="D9" s="934"/>
      <c r="E9" s="934"/>
      <c r="F9" s="928"/>
      <c r="G9" s="928"/>
      <c r="H9" s="926"/>
      <c r="I9" s="926"/>
      <c r="J9" s="408" t="s">
        <v>123</v>
      </c>
      <c r="K9" s="408" t="s">
        <v>124</v>
      </c>
      <c r="L9" s="408" t="s">
        <v>116</v>
      </c>
      <c r="M9" s="409" t="s">
        <v>103</v>
      </c>
      <c r="N9" s="409" t="s">
        <v>125</v>
      </c>
      <c r="O9" s="409" t="s">
        <v>106</v>
      </c>
      <c r="P9" s="409" t="s">
        <v>244</v>
      </c>
      <c r="Q9" s="409" t="s">
        <v>109</v>
      </c>
      <c r="R9" s="926"/>
      <c r="S9" s="936"/>
      <c r="T9" s="945"/>
      <c r="U9" s="403"/>
      <c r="V9" s="406"/>
      <c r="W9" s="406"/>
      <c r="X9" s="406"/>
      <c r="Y9" s="406"/>
      <c r="Z9" s="406"/>
      <c r="AA9" s="406"/>
      <c r="AB9" s="406"/>
      <c r="AC9" s="406"/>
      <c r="AD9" s="406"/>
      <c r="AE9" s="406"/>
      <c r="AF9" s="406"/>
      <c r="AG9" s="406"/>
      <c r="AH9" s="406"/>
      <c r="AI9" s="406"/>
      <c r="AJ9" s="406"/>
    </row>
    <row r="10" spans="1:20" ht="16.5" customHeight="1">
      <c r="A10" s="937" t="s">
        <v>6</v>
      </c>
      <c r="B10" s="938"/>
      <c r="C10" s="431">
        <v>1</v>
      </c>
      <c r="D10" s="410">
        <v>2</v>
      </c>
      <c r="E10" s="410">
        <v>3</v>
      </c>
      <c r="F10" s="410">
        <v>4</v>
      </c>
      <c r="G10" s="410">
        <v>5</v>
      </c>
      <c r="H10" s="431">
        <v>6</v>
      </c>
      <c r="I10" s="431">
        <v>7</v>
      </c>
      <c r="J10" s="410">
        <v>8</v>
      </c>
      <c r="K10" s="410">
        <v>9</v>
      </c>
      <c r="L10" s="410" t="s">
        <v>81</v>
      </c>
      <c r="M10" s="410" t="s">
        <v>82</v>
      </c>
      <c r="N10" s="410" t="s">
        <v>83</v>
      </c>
      <c r="O10" s="410" t="s">
        <v>84</v>
      </c>
      <c r="P10" s="410" t="s">
        <v>85</v>
      </c>
      <c r="Q10" s="410" t="s">
        <v>246</v>
      </c>
      <c r="R10" s="431" t="s">
        <v>247</v>
      </c>
      <c r="S10" s="431" t="s">
        <v>248</v>
      </c>
      <c r="T10" s="411" t="s">
        <v>249</v>
      </c>
    </row>
    <row r="11" spans="1:21" s="439" customFormat="1" ht="29.25" customHeight="1">
      <c r="A11" s="947" t="s">
        <v>30</v>
      </c>
      <c r="B11" s="948"/>
      <c r="C11" s="438">
        <f>C12+C32</f>
        <v>5053974215</v>
      </c>
      <c r="D11" s="438">
        <f>D12+D32</f>
        <v>3209226708</v>
      </c>
      <c r="E11" s="438">
        <f aca="true" t="shared" si="0" ref="E11:S11">E12+E32</f>
        <v>1844747507</v>
      </c>
      <c r="F11" s="438">
        <f t="shared" si="0"/>
        <v>23718812</v>
      </c>
      <c r="G11" s="438">
        <f t="shared" si="0"/>
        <v>9109528</v>
      </c>
      <c r="H11" s="438">
        <f t="shared" si="0"/>
        <v>5030255403</v>
      </c>
      <c r="I11" s="438">
        <f t="shared" si="0"/>
        <v>3404277584</v>
      </c>
      <c r="J11" s="438">
        <f t="shared" si="0"/>
        <v>131812327</v>
      </c>
      <c r="K11" s="438">
        <f t="shared" si="0"/>
        <v>13988552</v>
      </c>
      <c r="L11" s="438">
        <f t="shared" si="0"/>
        <v>5306</v>
      </c>
      <c r="M11" s="438">
        <f t="shared" si="0"/>
        <v>3217383400</v>
      </c>
      <c r="N11" s="438">
        <f t="shared" si="0"/>
        <v>14347078</v>
      </c>
      <c r="O11" s="438">
        <f t="shared" si="0"/>
        <v>25075796</v>
      </c>
      <c r="P11" s="438">
        <f t="shared" si="0"/>
        <v>0</v>
      </c>
      <c r="Q11" s="438">
        <f t="shared" si="0"/>
        <v>1665125</v>
      </c>
      <c r="R11" s="438">
        <f t="shared" si="0"/>
        <v>1625977819</v>
      </c>
      <c r="S11" s="438">
        <f t="shared" si="0"/>
        <v>4884449218</v>
      </c>
      <c r="T11" s="400">
        <f>(J11+K11+L11)/I11*100</f>
        <v>4.283028672082576</v>
      </c>
      <c r="U11" s="399">
        <f>C11-H11-F11</f>
        <v>0</v>
      </c>
    </row>
    <row r="12" spans="1:21" s="398" customFormat="1" ht="31.5" customHeight="1">
      <c r="A12" s="397" t="s">
        <v>0</v>
      </c>
      <c r="B12" s="440" t="s">
        <v>78</v>
      </c>
      <c r="C12" s="472">
        <f>SUM(C13:C31)</f>
        <v>1422510542</v>
      </c>
      <c r="D12" s="472">
        <f aca="true" t="shared" si="1" ref="D12:R12">SUM(D13:D31)</f>
        <v>869706440</v>
      </c>
      <c r="E12" s="472">
        <f t="shared" si="1"/>
        <v>552804102</v>
      </c>
      <c r="F12" s="472">
        <f t="shared" si="1"/>
        <v>12758979</v>
      </c>
      <c r="G12" s="472">
        <f t="shared" si="1"/>
        <v>0</v>
      </c>
      <c r="H12" s="472">
        <f t="shared" si="1"/>
        <v>1409751563</v>
      </c>
      <c r="I12" s="472">
        <f t="shared" si="1"/>
        <v>969049150</v>
      </c>
      <c r="J12" s="472">
        <f t="shared" si="1"/>
        <v>53015959</v>
      </c>
      <c r="K12" s="472">
        <f t="shared" si="1"/>
        <v>0</v>
      </c>
      <c r="L12" s="472">
        <f t="shared" si="1"/>
        <v>0</v>
      </c>
      <c r="M12" s="472">
        <f t="shared" si="1"/>
        <v>877000609</v>
      </c>
      <c r="N12" s="472">
        <f t="shared" si="1"/>
        <v>13965888</v>
      </c>
      <c r="O12" s="472">
        <f t="shared" si="1"/>
        <v>25066694</v>
      </c>
      <c r="P12" s="472">
        <f t="shared" si="1"/>
        <v>0</v>
      </c>
      <c r="Q12" s="472">
        <f t="shared" si="1"/>
        <v>0</v>
      </c>
      <c r="R12" s="472">
        <f t="shared" si="1"/>
        <v>440702413</v>
      </c>
      <c r="S12" s="472">
        <f>M12+N12+O12+P12+Q12+R12</f>
        <v>1356735604</v>
      </c>
      <c r="T12" s="400">
        <f>(J12+K12+L12)/I12*100</f>
        <v>5.470925700724261</v>
      </c>
      <c r="U12" s="399">
        <f aca="true" t="shared" si="2" ref="U12:U71">C12-H12-F12</f>
        <v>0</v>
      </c>
    </row>
    <row r="13" spans="1:21" s="412" customFormat="1" ht="31.5" customHeight="1">
      <c r="A13" s="413" t="s">
        <v>45</v>
      </c>
      <c r="B13" s="413" t="s">
        <v>435</v>
      </c>
      <c r="C13" s="466">
        <f>D13+E13</f>
        <v>1327602</v>
      </c>
      <c r="D13" s="474">
        <v>336800</v>
      </c>
      <c r="E13" s="466">
        <f>989602+1200</f>
        <v>990802</v>
      </c>
      <c r="F13" s="466">
        <v>0</v>
      </c>
      <c r="G13" s="466"/>
      <c r="H13" s="466">
        <f>I13+R13</f>
        <v>1327602</v>
      </c>
      <c r="I13" s="466">
        <f>SUM(J13:Q13)</f>
        <v>1327602</v>
      </c>
      <c r="J13" s="466">
        <v>9000</v>
      </c>
      <c r="K13" s="466"/>
      <c r="L13" s="466"/>
      <c r="M13" s="466">
        <f>337000-200-4000+985802</f>
        <v>1318602</v>
      </c>
      <c r="N13" s="466"/>
      <c r="O13" s="466"/>
      <c r="P13" s="466"/>
      <c r="Q13" s="466"/>
      <c r="R13" s="466"/>
      <c r="S13" s="466">
        <f aca="true" t="shared" si="3" ref="S13:S31">SUM(M13:R13)</f>
        <v>1318602</v>
      </c>
      <c r="T13" s="449">
        <f>(J13+K13+L13)/I13*100</f>
        <v>0.6779140133865421</v>
      </c>
      <c r="U13" s="399">
        <f t="shared" si="2"/>
        <v>0</v>
      </c>
    </row>
    <row r="14" spans="1:21" s="412" customFormat="1" ht="31.5" customHeight="1">
      <c r="A14" s="413" t="s">
        <v>46</v>
      </c>
      <c r="B14" s="413" t="s">
        <v>436</v>
      </c>
      <c r="C14" s="466">
        <f aca="true" t="shared" si="4" ref="C14:C31">D14+E14</f>
        <v>382385</v>
      </c>
      <c r="D14" s="474">
        <v>5650</v>
      </c>
      <c r="E14" s="466">
        <f>9002+367733</f>
        <v>376735</v>
      </c>
      <c r="F14" s="466">
        <v>0</v>
      </c>
      <c r="G14" s="466"/>
      <c r="H14" s="466">
        <f aca="true" t="shared" si="5" ref="H14:H31">I14+R14</f>
        <v>382385</v>
      </c>
      <c r="I14" s="466">
        <f aca="true" t="shared" si="6" ref="I14:I31">SUM(J14:Q14)</f>
        <v>382385</v>
      </c>
      <c r="J14" s="466">
        <v>0</v>
      </c>
      <c r="K14" s="466"/>
      <c r="L14" s="466"/>
      <c r="M14" s="466">
        <f>7352-1702+376735</f>
        <v>382385</v>
      </c>
      <c r="N14" s="466"/>
      <c r="O14" s="466"/>
      <c r="P14" s="466"/>
      <c r="Q14" s="466"/>
      <c r="R14" s="466"/>
      <c r="S14" s="466">
        <f t="shared" si="3"/>
        <v>382385</v>
      </c>
      <c r="T14" s="449">
        <f aca="true" t="shared" si="7" ref="T14:T31">(J14+K14+L14)/I14*100</f>
        <v>0</v>
      </c>
      <c r="U14" s="399">
        <f t="shared" si="2"/>
        <v>0</v>
      </c>
    </row>
    <row r="15" spans="1:21" s="412" customFormat="1" ht="31.5" customHeight="1">
      <c r="A15" s="413" t="s">
        <v>102</v>
      </c>
      <c r="B15" s="413" t="s">
        <v>434</v>
      </c>
      <c r="C15" s="466">
        <f>D15+E15</f>
        <v>276725</v>
      </c>
      <c r="D15" s="474">
        <v>0</v>
      </c>
      <c r="E15" s="466">
        <f>2100+300+273425+900</f>
        <v>276725</v>
      </c>
      <c r="F15" s="466">
        <v>0</v>
      </c>
      <c r="G15" s="466"/>
      <c r="H15" s="466">
        <f t="shared" si="5"/>
        <v>276725</v>
      </c>
      <c r="I15" s="466">
        <f t="shared" si="6"/>
        <v>276725</v>
      </c>
      <c r="J15" s="466">
        <f>1200+273425</f>
        <v>274625</v>
      </c>
      <c r="K15" s="466"/>
      <c r="L15" s="466"/>
      <c r="M15" s="466">
        <f>274625-272525</f>
        <v>2100</v>
      </c>
      <c r="N15" s="466"/>
      <c r="O15" s="466"/>
      <c r="P15" s="466"/>
      <c r="Q15" s="466"/>
      <c r="R15" s="466"/>
      <c r="S15" s="466">
        <f t="shared" si="3"/>
        <v>2100</v>
      </c>
      <c r="T15" s="449">
        <f t="shared" si="7"/>
        <v>99.24112385942723</v>
      </c>
      <c r="U15" s="399">
        <f t="shared" si="2"/>
        <v>0</v>
      </c>
    </row>
    <row r="16" spans="1:21" s="412" customFormat="1" ht="31.5" customHeight="1">
      <c r="A16" s="413" t="s">
        <v>104</v>
      </c>
      <c r="B16" s="413" t="s">
        <v>526</v>
      </c>
      <c r="C16" s="466">
        <f t="shared" si="4"/>
        <v>42867810</v>
      </c>
      <c r="D16" s="474">
        <v>37629709</v>
      </c>
      <c r="E16" s="466">
        <f>4424509+813592</f>
        <v>5238101</v>
      </c>
      <c r="F16" s="466">
        <v>0</v>
      </c>
      <c r="G16" s="466"/>
      <c r="H16" s="466">
        <f t="shared" si="5"/>
        <v>42867810</v>
      </c>
      <c r="I16" s="466">
        <f t="shared" si="6"/>
        <v>42867810</v>
      </c>
      <c r="J16" s="466">
        <f>6423000+93360+4080000+720232</f>
        <v>11316592</v>
      </c>
      <c r="K16" s="466"/>
      <c r="L16" s="466"/>
      <c r="M16" s="466">
        <f>12563015-1998491-3359768-720232</f>
        <v>6484524</v>
      </c>
      <c r="N16" s="466"/>
      <c r="O16" s="466">
        <v>25066694</v>
      </c>
      <c r="P16" s="466"/>
      <c r="Q16" s="466"/>
      <c r="R16" s="466"/>
      <c r="S16" s="466">
        <f t="shared" si="3"/>
        <v>31551218</v>
      </c>
      <c r="T16" s="449">
        <f t="shared" si="7"/>
        <v>26.39881066935773</v>
      </c>
      <c r="U16" s="399">
        <f t="shared" si="2"/>
        <v>0</v>
      </c>
    </row>
    <row r="17" spans="1:21" s="412" customFormat="1" ht="31.5" customHeight="1">
      <c r="A17" s="413" t="s">
        <v>105</v>
      </c>
      <c r="B17" s="413" t="s">
        <v>437</v>
      </c>
      <c r="C17" s="466">
        <f t="shared" si="4"/>
        <v>4049089</v>
      </c>
      <c r="D17" s="474">
        <v>3713115</v>
      </c>
      <c r="E17" s="466">
        <f>33173+800+302001</f>
        <v>335974</v>
      </c>
      <c r="F17" s="466">
        <v>0</v>
      </c>
      <c r="G17" s="466"/>
      <c r="H17" s="466">
        <f t="shared" si="5"/>
        <v>4049089</v>
      </c>
      <c r="I17" s="466">
        <f t="shared" si="6"/>
        <v>1867759</v>
      </c>
      <c r="J17" s="466">
        <f>33173+600+302051</f>
        <v>335824</v>
      </c>
      <c r="K17" s="466"/>
      <c r="L17" s="470"/>
      <c r="M17" s="470">
        <f>1531785+200-50</f>
        <v>1531935</v>
      </c>
      <c r="N17" s="475"/>
      <c r="O17" s="475"/>
      <c r="P17" s="475"/>
      <c r="Q17" s="475"/>
      <c r="R17" s="475">
        <v>2181330</v>
      </c>
      <c r="S17" s="466">
        <f t="shared" si="3"/>
        <v>3713265</v>
      </c>
      <c r="T17" s="449">
        <f t="shared" si="7"/>
        <v>17.980049888663366</v>
      </c>
      <c r="U17" s="399">
        <f t="shared" si="2"/>
        <v>0</v>
      </c>
    </row>
    <row r="18" spans="1:21" s="412" customFormat="1" ht="31.5" customHeight="1">
      <c r="A18" s="413" t="s">
        <v>107</v>
      </c>
      <c r="B18" s="413" t="s">
        <v>438</v>
      </c>
      <c r="C18" s="466">
        <f t="shared" si="4"/>
        <v>36084778</v>
      </c>
      <c r="D18" s="474">
        <v>36084778</v>
      </c>
      <c r="E18" s="466">
        <v>0</v>
      </c>
      <c r="F18" s="466">
        <v>0</v>
      </c>
      <c r="G18" s="475"/>
      <c r="H18" s="466">
        <f t="shared" si="5"/>
        <v>36084778</v>
      </c>
      <c r="I18" s="466">
        <f t="shared" si="6"/>
        <v>5745765</v>
      </c>
      <c r="J18" s="466">
        <v>0</v>
      </c>
      <c r="K18" s="475">
        <v>0</v>
      </c>
      <c r="L18" s="475"/>
      <c r="M18" s="475">
        <v>5745765</v>
      </c>
      <c r="N18" s="470"/>
      <c r="O18" s="475"/>
      <c r="P18" s="475"/>
      <c r="Q18" s="475"/>
      <c r="R18" s="475">
        <v>30339013</v>
      </c>
      <c r="S18" s="466">
        <f t="shared" si="3"/>
        <v>36084778</v>
      </c>
      <c r="T18" s="449">
        <f t="shared" si="7"/>
        <v>0</v>
      </c>
      <c r="U18" s="399">
        <f t="shared" si="2"/>
        <v>0</v>
      </c>
    </row>
    <row r="19" spans="1:21" s="412" customFormat="1" ht="31.5" customHeight="1">
      <c r="A19" s="413" t="s">
        <v>108</v>
      </c>
      <c r="B19" s="413" t="s">
        <v>439</v>
      </c>
      <c r="C19" s="466">
        <f t="shared" si="4"/>
        <v>12085591</v>
      </c>
      <c r="D19" s="474">
        <v>11111935</v>
      </c>
      <c r="E19" s="466">
        <v>973656</v>
      </c>
      <c r="F19" s="466">
        <v>0</v>
      </c>
      <c r="G19" s="475"/>
      <c r="H19" s="466">
        <f t="shared" si="5"/>
        <v>12085591</v>
      </c>
      <c r="I19" s="466">
        <f t="shared" si="6"/>
        <v>11955985</v>
      </c>
      <c r="J19" s="466">
        <f>21400+77068</f>
        <v>98468</v>
      </c>
      <c r="K19" s="475"/>
      <c r="L19" s="475"/>
      <c r="M19" s="475">
        <f>23282329-12300000+875188</f>
        <v>11857517</v>
      </c>
      <c r="N19" s="470"/>
      <c r="O19" s="475"/>
      <c r="P19" s="475"/>
      <c r="Q19" s="475"/>
      <c r="R19" s="475">
        <v>129606</v>
      </c>
      <c r="S19" s="466">
        <f t="shared" si="3"/>
        <v>11987123</v>
      </c>
      <c r="T19" s="449">
        <f t="shared" si="7"/>
        <v>0.8235875170469016</v>
      </c>
      <c r="U19" s="399">
        <f t="shared" si="2"/>
        <v>0</v>
      </c>
    </row>
    <row r="20" spans="1:21" s="412" customFormat="1" ht="31.5" customHeight="1">
      <c r="A20" s="413" t="s">
        <v>115</v>
      </c>
      <c r="B20" s="413" t="s">
        <v>440</v>
      </c>
      <c r="C20" s="466">
        <f t="shared" si="4"/>
        <v>269115</v>
      </c>
      <c r="D20" s="474">
        <v>192587</v>
      </c>
      <c r="E20" s="466">
        <f>11200+49806+11522+4000</f>
        <v>76528</v>
      </c>
      <c r="F20" s="466">
        <v>0</v>
      </c>
      <c r="G20" s="475"/>
      <c r="H20" s="466">
        <f t="shared" si="5"/>
        <v>269115</v>
      </c>
      <c r="I20" s="466">
        <f t="shared" si="6"/>
        <v>216028</v>
      </c>
      <c r="J20" s="466">
        <f>800+49806+1200</f>
        <v>51806</v>
      </c>
      <c r="K20" s="475">
        <v>0</v>
      </c>
      <c r="L20" s="475"/>
      <c r="M20" s="475">
        <f>139500+10400+14322</f>
        <v>164222</v>
      </c>
      <c r="N20" s="470"/>
      <c r="O20" s="475"/>
      <c r="P20" s="475"/>
      <c r="Q20" s="475"/>
      <c r="R20" s="475">
        <v>53087</v>
      </c>
      <c r="S20" s="466">
        <f t="shared" si="3"/>
        <v>217309</v>
      </c>
      <c r="T20" s="449">
        <f t="shared" si="7"/>
        <v>23.981150591589977</v>
      </c>
      <c r="U20" s="399">
        <f t="shared" si="2"/>
        <v>0</v>
      </c>
    </row>
    <row r="21" spans="1:21" s="412" customFormat="1" ht="31.5" customHeight="1">
      <c r="A21" s="413" t="s">
        <v>425</v>
      </c>
      <c r="B21" s="413" t="s">
        <v>442</v>
      </c>
      <c r="C21" s="466">
        <f t="shared" si="4"/>
        <v>103369434</v>
      </c>
      <c r="D21" s="474">
        <v>103036523</v>
      </c>
      <c r="E21" s="466">
        <f>119353+180750+32808</f>
        <v>332911</v>
      </c>
      <c r="F21" s="466">
        <v>0</v>
      </c>
      <c r="G21" s="475"/>
      <c r="H21" s="466">
        <f t="shared" si="5"/>
        <v>103369434</v>
      </c>
      <c r="I21" s="466">
        <f t="shared" si="6"/>
        <v>103369434</v>
      </c>
      <c r="J21" s="466">
        <f>160600+30600+71860+2140+32808</f>
        <v>298008</v>
      </c>
      <c r="K21" s="475">
        <v>0</v>
      </c>
      <c r="L21" s="475"/>
      <c r="M21" s="475">
        <f>113037023-10000000-500+119353-84450</f>
        <v>103071426</v>
      </c>
      <c r="N21" s="470"/>
      <c r="O21" s="475"/>
      <c r="P21" s="475"/>
      <c r="Q21" s="475"/>
      <c r="R21" s="475"/>
      <c r="S21" s="466">
        <f t="shared" si="3"/>
        <v>103071426</v>
      </c>
      <c r="T21" s="449">
        <f t="shared" si="7"/>
        <v>0.28829411990395537</v>
      </c>
      <c r="U21" s="399">
        <f t="shared" si="2"/>
        <v>0</v>
      </c>
    </row>
    <row r="22" spans="1:21" s="412" customFormat="1" ht="31.5" customHeight="1">
      <c r="A22" s="413" t="s">
        <v>441</v>
      </c>
      <c r="B22" s="413" t="s">
        <v>444</v>
      </c>
      <c r="C22" s="466">
        <f t="shared" si="4"/>
        <v>72683776</v>
      </c>
      <c r="D22" s="474">
        <v>39751844</v>
      </c>
      <c r="E22" s="466">
        <v>32931932</v>
      </c>
      <c r="F22" s="466">
        <v>0</v>
      </c>
      <c r="G22" s="475"/>
      <c r="H22" s="466">
        <f t="shared" si="5"/>
        <v>72683776</v>
      </c>
      <c r="I22" s="466">
        <f t="shared" si="6"/>
        <v>72683776</v>
      </c>
      <c r="J22" s="466">
        <v>0</v>
      </c>
      <c r="K22" s="475"/>
      <c r="L22" s="475"/>
      <c r="M22" s="475">
        <f>39751844+32931932</f>
        <v>72683776</v>
      </c>
      <c r="N22" s="470"/>
      <c r="O22" s="475"/>
      <c r="P22" s="475"/>
      <c r="Q22" s="475"/>
      <c r="R22" s="475"/>
      <c r="S22" s="466">
        <f t="shared" si="3"/>
        <v>72683776</v>
      </c>
      <c r="T22" s="449">
        <f t="shared" si="7"/>
        <v>0</v>
      </c>
      <c r="U22" s="399">
        <f t="shared" si="2"/>
        <v>0</v>
      </c>
    </row>
    <row r="23" spans="1:21" s="412" customFormat="1" ht="31.5" customHeight="1">
      <c r="A23" s="413" t="s">
        <v>443</v>
      </c>
      <c r="B23" s="413" t="s">
        <v>540</v>
      </c>
      <c r="C23" s="466">
        <f t="shared" si="4"/>
        <v>42918958</v>
      </c>
      <c r="D23" s="474">
        <f>33762968+9109528</f>
        <v>42872496</v>
      </c>
      <c r="E23" s="466">
        <f>5400+25050+16012</f>
        <v>46462</v>
      </c>
      <c r="F23" s="466">
        <f>36600+12255540</f>
        <v>12292140</v>
      </c>
      <c r="G23" s="475"/>
      <c r="H23" s="466">
        <f t="shared" si="5"/>
        <v>30626818</v>
      </c>
      <c r="I23" s="466">
        <f t="shared" si="6"/>
        <v>30503597</v>
      </c>
      <c r="J23" s="466">
        <f>2267851+69000+27250+12009</f>
        <v>2376110</v>
      </c>
      <c r="K23" s="475"/>
      <c r="L23" s="475"/>
      <c r="M23" s="475">
        <f>19673859+5400-2336851+9109528-12290337</f>
        <v>14161599</v>
      </c>
      <c r="N23" s="470">
        <v>13965888</v>
      </c>
      <c r="O23" s="475"/>
      <c r="P23" s="475"/>
      <c r="Q23" s="475"/>
      <c r="R23" s="475">
        <f>7540+115681</f>
        <v>123221</v>
      </c>
      <c r="S23" s="466">
        <f t="shared" si="3"/>
        <v>28250708</v>
      </c>
      <c r="T23" s="449">
        <f t="shared" si="7"/>
        <v>7.789605927458326</v>
      </c>
      <c r="U23" s="399">
        <f t="shared" si="2"/>
        <v>0</v>
      </c>
    </row>
    <row r="24" spans="1:21" s="412" customFormat="1" ht="31.5" customHeight="1">
      <c r="A24" s="413" t="s">
        <v>445</v>
      </c>
      <c r="B24" s="413" t="s">
        <v>541</v>
      </c>
      <c r="C24" s="466">
        <f t="shared" si="4"/>
        <v>570415596</v>
      </c>
      <c r="D24" s="475">
        <v>102594228</v>
      </c>
      <c r="E24" s="466">
        <f>463349314+4472054</f>
        <v>467821368</v>
      </c>
      <c r="F24" s="466">
        <v>0</v>
      </c>
      <c r="G24" s="475"/>
      <c r="H24" s="466">
        <f t="shared" si="5"/>
        <v>570415596</v>
      </c>
      <c r="I24" s="466">
        <f t="shared" si="6"/>
        <v>567650242</v>
      </c>
      <c r="J24" s="466">
        <v>29354082</v>
      </c>
      <c r="K24" s="475"/>
      <c r="L24" s="475"/>
      <c r="M24" s="475">
        <f>100046207-217333+433995232+4472054</f>
        <v>538296160</v>
      </c>
      <c r="N24" s="470"/>
      <c r="O24" s="475"/>
      <c r="P24" s="475"/>
      <c r="Q24" s="475"/>
      <c r="R24" s="475">
        <f>2548021+217333</f>
        <v>2765354</v>
      </c>
      <c r="S24" s="466">
        <f t="shared" si="3"/>
        <v>541061514</v>
      </c>
      <c r="T24" s="449">
        <f t="shared" si="7"/>
        <v>5.171156431921331</v>
      </c>
      <c r="U24" s="399">
        <f t="shared" si="2"/>
        <v>0</v>
      </c>
    </row>
    <row r="25" spans="1:21" s="412" customFormat="1" ht="31.5" customHeight="1">
      <c r="A25" s="413" t="s">
        <v>446</v>
      </c>
      <c r="B25" s="413" t="s">
        <v>448</v>
      </c>
      <c r="C25" s="465">
        <f>D25+E25</f>
        <v>495266920</v>
      </c>
      <c r="D25" s="466">
        <v>481021662</v>
      </c>
      <c r="E25" s="466">
        <v>14245258</v>
      </c>
      <c r="F25" s="466">
        <v>28400</v>
      </c>
      <c r="G25" s="465"/>
      <c r="H25" s="465">
        <f>I25+R25</f>
        <v>495238520</v>
      </c>
      <c r="I25" s="465">
        <f>SUM(J25:Q25)</f>
        <v>95829369</v>
      </c>
      <c r="J25" s="466">
        <v>69247</v>
      </c>
      <c r="K25" s="465">
        <v>0</v>
      </c>
      <c r="L25" s="467"/>
      <c r="M25" s="467">
        <f>81612511+14147611</f>
        <v>95760122</v>
      </c>
      <c r="N25" s="468">
        <v>0</v>
      </c>
      <c r="O25" s="468">
        <v>0</v>
      </c>
      <c r="P25" s="468"/>
      <c r="Q25" s="468"/>
      <c r="R25" s="468">
        <v>399409151</v>
      </c>
      <c r="S25" s="473">
        <f>H25-J25-K25-L25</f>
        <v>495169273</v>
      </c>
      <c r="T25" s="449">
        <f t="shared" si="7"/>
        <v>0.07226072833684212</v>
      </c>
      <c r="U25" s="399">
        <f t="shared" si="2"/>
        <v>0</v>
      </c>
    </row>
    <row r="26" spans="1:21" s="412" customFormat="1" ht="31.5" customHeight="1">
      <c r="A26" s="413" t="s">
        <v>447</v>
      </c>
      <c r="B26" s="413" t="s">
        <v>450</v>
      </c>
      <c r="C26" s="466">
        <f>D26+E26</f>
        <v>2739482</v>
      </c>
      <c r="D26" s="469">
        <f>2569533</f>
        <v>2569533</v>
      </c>
      <c r="E26" s="466">
        <f>87469+5550+26930+50000</f>
        <v>169949</v>
      </c>
      <c r="F26" s="466">
        <v>0</v>
      </c>
      <c r="G26" s="466"/>
      <c r="H26" s="466">
        <f>I26+R26</f>
        <v>2739482</v>
      </c>
      <c r="I26" s="466">
        <f>SUM(J26:Q26)</f>
        <v>2641865</v>
      </c>
      <c r="J26" s="466">
        <f>35803+8800</f>
        <v>44603</v>
      </c>
      <c r="K26" s="466"/>
      <c r="L26" s="470"/>
      <c r="M26" s="470">
        <f>2523582+73680</f>
        <v>2597262</v>
      </c>
      <c r="N26" s="470"/>
      <c r="O26" s="471"/>
      <c r="P26" s="471"/>
      <c r="Q26" s="471"/>
      <c r="R26" s="471">
        <v>97617</v>
      </c>
      <c r="S26" s="466">
        <f t="shared" si="3"/>
        <v>2694879</v>
      </c>
      <c r="T26" s="449">
        <f t="shared" si="7"/>
        <v>1.6883148836144164</v>
      </c>
      <c r="U26" s="399">
        <f t="shared" si="2"/>
        <v>0</v>
      </c>
    </row>
    <row r="27" spans="1:21" s="412" customFormat="1" ht="31.5" customHeight="1">
      <c r="A27" s="413" t="s">
        <v>449</v>
      </c>
      <c r="B27" s="413" t="s">
        <v>452</v>
      </c>
      <c r="C27" s="466">
        <f t="shared" si="4"/>
        <v>29230869</v>
      </c>
      <c r="D27" s="474">
        <v>1278149</v>
      </c>
      <c r="E27" s="466">
        <f>23097026+4482919+122684+15441+233400+1250</f>
        <v>27952720</v>
      </c>
      <c r="F27" s="466">
        <v>0</v>
      </c>
      <c r="G27" s="466"/>
      <c r="H27" s="466">
        <f t="shared" si="5"/>
        <v>29230869</v>
      </c>
      <c r="I27" s="466">
        <f t="shared" si="6"/>
        <v>29205869</v>
      </c>
      <c r="J27" s="466">
        <f>8246200+15441</f>
        <v>8261641</v>
      </c>
      <c r="K27" s="466"/>
      <c r="L27" s="470"/>
      <c r="M27" s="470">
        <f>16103975+4605603+234650</f>
        <v>20944228</v>
      </c>
      <c r="N27" s="470"/>
      <c r="O27" s="475"/>
      <c r="P27" s="475"/>
      <c r="Q27" s="475"/>
      <c r="R27" s="475">
        <v>25000</v>
      </c>
      <c r="S27" s="466">
        <f t="shared" si="3"/>
        <v>20969228</v>
      </c>
      <c r="T27" s="449">
        <f t="shared" si="7"/>
        <v>28.287605480939465</v>
      </c>
      <c r="U27" s="399">
        <f t="shared" si="2"/>
        <v>0</v>
      </c>
    </row>
    <row r="28" spans="1:21" s="412" customFormat="1" ht="31.5" customHeight="1">
      <c r="A28" s="413" t="s">
        <v>451</v>
      </c>
      <c r="B28" s="413" t="s">
        <v>454</v>
      </c>
      <c r="C28" s="466">
        <f t="shared" si="4"/>
        <v>5492646</v>
      </c>
      <c r="D28" s="466">
        <v>5325863</v>
      </c>
      <c r="E28" s="466">
        <f>65050+101733</f>
        <v>166783</v>
      </c>
      <c r="F28" s="466">
        <v>0</v>
      </c>
      <c r="G28" s="466"/>
      <c r="H28" s="466">
        <f t="shared" si="5"/>
        <v>5492646</v>
      </c>
      <c r="I28" s="466">
        <f t="shared" si="6"/>
        <v>190983</v>
      </c>
      <c r="J28" s="466">
        <f>6050+98933+8600</f>
        <v>113583</v>
      </c>
      <c r="K28" s="466">
        <v>0</v>
      </c>
      <c r="L28" s="470">
        <v>0</v>
      </c>
      <c r="M28" s="470">
        <f>192494-116200-56094+4000+59000+2800-8600</f>
        <v>77400</v>
      </c>
      <c r="N28" s="470"/>
      <c r="O28" s="475"/>
      <c r="P28" s="475"/>
      <c r="Q28" s="475"/>
      <c r="R28" s="475">
        <f>5176064+69505+56094</f>
        <v>5301663</v>
      </c>
      <c r="S28" s="466">
        <f t="shared" si="3"/>
        <v>5379063</v>
      </c>
      <c r="T28" s="449">
        <f t="shared" si="7"/>
        <v>59.472832660498575</v>
      </c>
      <c r="U28" s="399">
        <f t="shared" si="2"/>
        <v>0</v>
      </c>
    </row>
    <row r="29" spans="1:21" s="412" customFormat="1" ht="31.5" customHeight="1">
      <c r="A29" s="413" t="s">
        <v>453</v>
      </c>
      <c r="B29" s="413" t="s">
        <v>549</v>
      </c>
      <c r="C29" s="466">
        <f t="shared" si="4"/>
        <v>2152595</v>
      </c>
      <c r="D29" s="466">
        <v>1926742</v>
      </c>
      <c r="E29" s="466">
        <f>100334+38489+26700+5330+55000</f>
        <v>225853</v>
      </c>
      <c r="F29" s="466">
        <v>0</v>
      </c>
      <c r="G29" s="466">
        <v>0</v>
      </c>
      <c r="H29" s="466">
        <f t="shared" si="5"/>
        <v>2152595</v>
      </c>
      <c r="I29" s="466">
        <f t="shared" si="6"/>
        <v>2107750</v>
      </c>
      <c r="J29" s="466">
        <f>90684+16299+21780+4361+56740+55000</f>
        <v>244864</v>
      </c>
      <c r="K29" s="466">
        <v>0</v>
      </c>
      <c r="L29" s="470">
        <v>0</v>
      </c>
      <c r="M29" s="470">
        <f>1936392+20390+1800+10250-4361-52085-49500</f>
        <v>1862886</v>
      </c>
      <c r="N29" s="470"/>
      <c r="O29" s="475"/>
      <c r="P29" s="475"/>
      <c r="Q29" s="475"/>
      <c r="R29" s="475">
        <v>44845</v>
      </c>
      <c r="S29" s="466">
        <f t="shared" si="3"/>
        <v>1907731</v>
      </c>
      <c r="T29" s="449">
        <f t="shared" si="7"/>
        <v>11.61731704424149</v>
      </c>
      <c r="U29" s="399">
        <f t="shared" si="2"/>
        <v>0</v>
      </c>
    </row>
    <row r="30" spans="1:21" s="412" customFormat="1" ht="24" customHeight="1">
      <c r="A30" s="413" t="s">
        <v>575</v>
      </c>
      <c r="B30" s="413" t="s">
        <v>542</v>
      </c>
      <c r="C30" s="466">
        <f t="shared" si="4"/>
        <v>495398</v>
      </c>
      <c r="D30" s="476">
        <v>254826</v>
      </c>
      <c r="E30" s="466">
        <f>108670+32750+42449+30664+26039</f>
        <v>240572</v>
      </c>
      <c r="F30" s="466">
        <f>25400+28766</f>
        <v>54166</v>
      </c>
      <c r="G30" s="466"/>
      <c r="H30" s="466">
        <f t="shared" si="5"/>
        <v>441232</v>
      </c>
      <c r="I30" s="466">
        <f t="shared" si="6"/>
        <v>208706</v>
      </c>
      <c r="J30" s="466">
        <f>32750+58470+30664+13683+20839</f>
        <v>156406</v>
      </c>
      <c r="K30" s="466">
        <v>0</v>
      </c>
      <c r="L30" s="470"/>
      <c r="M30" s="470">
        <f>22300+24800+5200</f>
        <v>52300</v>
      </c>
      <c r="N30" s="470"/>
      <c r="O30" s="475"/>
      <c r="P30" s="475"/>
      <c r="Q30" s="475"/>
      <c r="R30" s="475">
        <v>232526</v>
      </c>
      <c r="S30" s="466">
        <f t="shared" si="3"/>
        <v>284826</v>
      </c>
      <c r="T30" s="449">
        <f t="shared" si="7"/>
        <v>74.94082585071824</v>
      </c>
      <c r="U30" s="399">
        <f t="shared" si="2"/>
        <v>0</v>
      </c>
    </row>
    <row r="31" spans="1:21" s="412" customFormat="1" ht="24" customHeight="1">
      <c r="A31" s="413" t="s">
        <v>625</v>
      </c>
      <c r="B31" s="413" t="s">
        <v>624</v>
      </c>
      <c r="C31" s="466">
        <f t="shared" si="4"/>
        <v>401773</v>
      </c>
      <c r="D31" s="476">
        <v>0</v>
      </c>
      <c r="E31" s="466">
        <f>390673+11100</f>
        <v>401773</v>
      </c>
      <c r="F31" s="466">
        <v>384273</v>
      </c>
      <c r="G31" s="466"/>
      <c r="H31" s="466">
        <f t="shared" si="5"/>
        <v>17500</v>
      </c>
      <c r="I31" s="466">
        <f t="shared" si="6"/>
        <v>17500</v>
      </c>
      <c r="J31" s="466">
        <v>11100</v>
      </c>
      <c r="K31" s="466">
        <v>0</v>
      </c>
      <c r="L31" s="477"/>
      <c r="M31" s="470">
        <f>390673-384273</f>
        <v>6400</v>
      </c>
      <c r="N31" s="470"/>
      <c r="O31" s="475"/>
      <c r="P31" s="478"/>
      <c r="Q31" s="475"/>
      <c r="R31" s="475">
        <v>0</v>
      </c>
      <c r="S31" s="466">
        <f t="shared" si="3"/>
        <v>6400</v>
      </c>
      <c r="T31" s="449">
        <f t="shared" si="7"/>
        <v>63.42857142857142</v>
      </c>
      <c r="U31" s="399">
        <f t="shared" si="2"/>
        <v>0</v>
      </c>
    </row>
    <row r="32" spans="1:21" s="398" customFormat="1" ht="34.5" customHeight="1">
      <c r="A32" s="397" t="s">
        <v>1</v>
      </c>
      <c r="B32" s="450" t="s">
        <v>455</v>
      </c>
      <c r="C32" s="472">
        <f>C33+C40+C44+C47+C49+C57+C63+C72+C76+C80+C90+C94+C98+C112+C117</f>
        <v>3631463673</v>
      </c>
      <c r="D32" s="472">
        <f aca="true" t="shared" si="8" ref="D32:R32">D33+D40+D44+D47+D49+D57+D63+D72+D76+D80+D90+D94+D98+D112+D117</f>
        <v>2339520268</v>
      </c>
      <c r="E32" s="472">
        <f t="shared" si="8"/>
        <v>1291943405</v>
      </c>
      <c r="F32" s="472">
        <f t="shared" si="8"/>
        <v>10959833</v>
      </c>
      <c r="G32" s="472">
        <f t="shared" si="8"/>
        <v>9109528</v>
      </c>
      <c r="H32" s="472">
        <f t="shared" si="8"/>
        <v>3620503840</v>
      </c>
      <c r="I32" s="472">
        <f t="shared" si="8"/>
        <v>2435228434</v>
      </c>
      <c r="J32" s="472">
        <f t="shared" si="8"/>
        <v>78796368</v>
      </c>
      <c r="K32" s="472">
        <f t="shared" si="8"/>
        <v>13988552</v>
      </c>
      <c r="L32" s="472">
        <f t="shared" si="8"/>
        <v>5306</v>
      </c>
      <c r="M32" s="472">
        <f t="shared" si="8"/>
        <v>2340382791</v>
      </c>
      <c r="N32" s="472">
        <f t="shared" si="8"/>
        <v>381190</v>
      </c>
      <c r="O32" s="472">
        <f t="shared" si="8"/>
        <v>9102</v>
      </c>
      <c r="P32" s="472">
        <f t="shared" si="8"/>
        <v>0</v>
      </c>
      <c r="Q32" s="472">
        <f t="shared" si="8"/>
        <v>1665125</v>
      </c>
      <c r="R32" s="472">
        <f t="shared" si="8"/>
        <v>1185275406</v>
      </c>
      <c r="S32" s="472">
        <f>M32+N32+O32+P32+Q32+R32</f>
        <v>3527713614</v>
      </c>
      <c r="T32" s="400">
        <f>(J32+K32+L32)/I32*100</f>
        <v>3.810329441972999</v>
      </c>
      <c r="U32" s="399">
        <f t="shared" si="2"/>
        <v>0</v>
      </c>
    </row>
    <row r="33" spans="1:21" s="398" customFormat="1" ht="34.5" customHeight="1">
      <c r="A33" s="397">
        <v>1</v>
      </c>
      <c r="B33" s="451" t="s">
        <v>456</v>
      </c>
      <c r="C33" s="472">
        <f>SUM(C34:C39)</f>
        <v>925737574</v>
      </c>
      <c r="D33" s="472">
        <f aca="true" t="shared" si="9" ref="D33:R33">SUM(D34:D39)</f>
        <v>323063545</v>
      </c>
      <c r="E33" s="472">
        <f t="shared" si="9"/>
        <v>602674029</v>
      </c>
      <c r="F33" s="472">
        <f t="shared" si="9"/>
        <v>0</v>
      </c>
      <c r="G33" s="472">
        <f t="shared" si="9"/>
        <v>0</v>
      </c>
      <c r="H33" s="472">
        <f t="shared" si="9"/>
        <v>925737574</v>
      </c>
      <c r="I33" s="472">
        <f t="shared" si="9"/>
        <v>845348172</v>
      </c>
      <c r="J33" s="472">
        <f t="shared" si="9"/>
        <v>12032750</v>
      </c>
      <c r="K33" s="472">
        <f t="shared" si="9"/>
        <v>599244</v>
      </c>
      <c r="L33" s="472">
        <f t="shared" si="9"/>
        <v>0</v>
      </c>
      <c r="M33" s="472">
        <f t="shared" si="9"/>
        <v>832716178</v>
      </c>
      <c r="N33" s="472">
        <f t="shared" si="9"/>
        <v>0</v>
      </c>
      <c r="O33" s="472">
        <f t="shared" si="9"/>
        <v>0</v>
      </c>
      <c r="P33" s="472">
        <f t="shared" si="9"/>
        <v>0</v>
      </c>
      <c r="Q33" s="472">
        <f t="shared" si="9"/>
        <v>0</v>
      </c>
      <c r="R33" s="472">
        <f t="shared" si="9"/>
        <v>80389402</v>
      </c>
      <c r="S33" s="472">
        <f>M33+N33+O33+P33+Q33+R33</f>
        <v>913105580</v>
      </c>
      <c r="T33" s="400">
        <f>(J33+K33+L33)/I33*100</f>
        <v>1.4942948264871863</v>
      </c>
      <c r="U33" s="399">
        <f t="shared" si="2"/>
        <v>0</v>
      </c>
    </row>
    <row r="34" spans="1:21" s="483" customFormat="1" ht="34.5" customHeight="1">
      <c r="A34" s="479">
        <v>1.1</v>
      </c>
      <c r="B34" s="485" t="s">
        <v>569</v>
      </c>
      <c r="C34" s="486">
        <v>124294095</v>
      </c>
      <c r="D34" s="487">
        <v>121768155</v>
      </c>
      <c r="E34" s="487">
        <v>2525940</v>
      </c>
      <c r="F34" s="487">
        <v>0</v>
      </c>
      <c r="G34" s="487">
        <v>0</v>
      </c>
      <c r="H34" s="486">
        <v>124294095</v>
      </c>
      <c r="I34" s="486">
        <v>120624378</v>
      </c>
      <c r="J34" s="487">
        <v>212650</v>
      </c>
      <c r="K34" s="487">
        <v>0</v>
      </c>
      <c r="L34" s="487">
        <v>0</v>
      </c>
      <c r="M34" s="487">
        <v>120411728</v>
      </c>
      <c r="N34" s="487">
        <v>0</v>
      </c>
      <c r="O34" s="487">
        <v>0</v>
      </c>
      <c r="P34" s="487">
        <v>0</v>
      </c>
      <c r="Q34" s="487">
        <v>0</v>
      </c>
      <c r="R34" s="487">
        <v>3669717</v>
      </c>
      <c r="S34" s="480">
        <f aca="true" t="shared" si="10" ref="S34:S101">M34+N34+O34+P34+Q34+R34</f>
        <v>124081445</v>
      </c>
      <c r="T34" s="481">
        <f aca="true" t="shared" si="11" ref="T34:T101">(J34+K34+L34)/I34*100</f>
        <v>0.1762910644811781</v>
      </c>
      <c r="U34" s="399">
        <f t="shared" si="2"/>
        <v>0</v>
      </c>
    </row>
    <row r="35" spans="1:21" s="483" customFormat="1" ht="34.5" customHeight="1">
      <c r="A35" s="479">
        <v>1.2</v>
      </c>
      <c r="B35" s="485" t="s">
        <v>543</v>
      </c>
      <c r="C35" s="486">
        <v>705590513</v>
      </c>
      <c r="D35" s="487">
        <v>116075091</v>
      </c>
      <c r="E35" s="487">
        <v>589515422</v>
      </c>
      <c r="F35" s="487">
        <v>0</v>
      </c>
      <c r="G35" s="487"/>
      <c r="H35" s="486">
        <v>705590513</v>
      </c>
      <c r="I35" s="486">
        <v>660738046</v>
      </c>
      <c r="J35" s="487">
        <v>6825510</v>
      </c>
      <c r="K35" s="487">
        <v>294344</v>
      </c>
      <c r="L35" s="487">
        <v>0</v>
      </c>
      <c r="M35" s="487">
        <v>653618192</v>
      </c>
      <c r="N35" s="487">
        <v>0</v>
      </c>
      <c r="O35" s="487"/>
      <c r="P35" s="487"/>
      <c r="Q35" s="487">
        <v>0</v>
      </c>
      <c r="R35" s="487">
        <v>44852467</v>
      </c>
      <c r="S35" s="480">
        <f t="shared" si="10"/>
        <v>698470659</v>
      </c>
      <c r="T35" s="481">
        <f t="shared" si="11"/>
        <v>1.0775607736080026</v>
      </c>
      <c r="U35" s="399">
        <f t="shared" si="2"/>
        <v>0</v>
      </c>
    </row>
    <row r="36" spans="1:21" s="483" customFormat="1" ht="34.5" customHeight="1">
      <c r="A36" s="479">
        <v>1.3</v>
      </c>
      <c r="B36" s="485" t="s">
        <v>457</v>
      </c>
      <c r="C36" s="486">
        <v>12209152</v>
      </c>
      <c r="D36" s="487">
        <v>10861939</v>
      </c>
      <c r="E36" s="487">
        <v>1347213</v>
      </c>
      <c r="F36" s="487">
        <v>0</v>
      </c>
      <c r="G36" s="487"/>
      <c r="H36" s="486">
        <v>12209152</v>
      </c>
      <c r="I36" s="486">
        <v>11496179</v>
      </c>
      <c r="J36" s="487">
        <v>63354</v>
      </c>
      <c r="K36" s="487">
        <v>0</v>
      </c>
      <c r="L36" s="487">
        <v>0</v>
      </c>
      <c r="M36" s="487">
        <v>11432825</v>
      </c>
      <c r="N36" s="487">
        <v>0</v>
      </c>
      <c r="O36" s="487"/>
      <c r="P36" s="487"/>
      <c r="Q36" s="487"/>
      <c r="R36" s="487">
        <v>712973</v>
      </c>
      <c r="S36" s="480">
        <f t="shared" si="10"/>
        <v>12145798</v>
      </c>
      <c r="T36" s="481">
        <f t="shared" si="11"/>
        <v>0.5510874526223017</v>
      </c>
      <c r="U36" s="399">
        <f t="shared" si="2"/>
        <v>0</v>
      </c>
    </row>
    <row r="37" spans="1:21" s="483" customFormat="1" ht="34.5" customHeight="1">
      <c r="A37" s="479">
        <v>1.4</v>
      </c>
      <c r="B37" s="485" t="s">
        <v>544</v>
      </c>
      <c r="C37" s="486">
        <v>24155128</v>
      </c>
      <c r="D37" s="487">
        <v>16150146</v>
      </c>
      <c r="E37" s="487">
        <v>8004982</v>
      </c>
      <c r="F37" s="487">
        <v>0</v>
      </c>
      <c r="G37" s="487"/>
      <c r="H37" s="486">
        <v>24155128</v>
      </c>
      <c r="I37" s="486">
        <v>12020550</v>
      </c>
      <c r="J37" s="487">
        <v>1382045</v>
      </c>
      <c r="K37" s="487">
        <v>0</v>
      </c>
      <c r="L37" s="487">
        <v>0</v>
      </c>
      <c r="M37" s="487">
        <v>10638505</v>
      </c>
      <c r="N37" s="487">
        <v>0</v>
      </c>
      <c r="O37" s="487"/>
      <c r="P37" s="487"/>
      <c r="Q37" s="487"/>
      <c r="R37" s="487">
        <v>12134578</v>
      </c>
      <c r="S37" s="480">
        <f t="shared" si="10"/>
        <v>22773083</v>
      </c>
      <c r="T37" s="481">
        <f t="shared" si="11"/>
        <v>11.497352450595024</v>
      </c>
      <c r="U37" s="399">
        <f t="shared" si="2"/>
        <v>0</v>
      </c>
    </row>
    <row r="38" spans="1:21" s="483" customFormat="1" ht="34.5" customHeight="1">
      <c r="A38" s="479">
        <v>1.5</v>
      </c>
      <c r="B38" s="485" t="s">
        <v>515</v>
      </c>
      <c r="C38" s="486">
        <v>44548199</v>
      </c>
      <c r="D38" s="487">
        <v>43576022</v>
      </c>
      <c r="E38" s="487">
        <v>972177</v>
      </c>
      <c r="F38" s="487">
        <v>0</v>
      </c>
      <c r="G38" s="487"/>
      <c r="H38" s="486">
        <v>44548199</v>
      </c>
      <c r="I38" s="486">
        <v>27054386</v>
      </c>
      <c r="J38" s="487">
        <v>3468676</v>
      </c>
      <c r="K38" s="487">
        <v>302350</v>
      </c>
      <c r="L38" s="487">
        <v>0</v>
      </c>
      <c r="M38" s="487">
        <v>23283360</v>
      </c>
      <c r="N38" s="487">
        <v>0</v>
      </c>
      <c r="O38" s="487"/>
      <c r="P38" s="487"/>
      <c r="Q38" s="487"/>
      <c r="R38" s="487">
        <v>17493813</v>
      </c>
      <c r="S38" s="480">
        <f t="shared" si="10"/>
        <v>40777173</v>
      </c>
      <c r="T38" s="481">
        <f t="shared" si="11"/>
        <v>13.938686318735897</v>
      </c>
      <c r="U38" s="399">
        <f t="shared" si="2"/>
        <v>0</v>
      </c>
    </row>
    <row r="39" spans="1:21" s="483" customFormat="1" ht="34.5" customHeight="1">
      <c r="A39" s="479">
        <v>1.6</v>
      </c>
      <c r="B39" s="485" t="s">
        <v>621</v>
      </c>
      <c r="C39" s="486">
        <v>14940487</v>
      </c>
      <c r="D39" s="487">
        <v>14632192</v>
      </c>
      <c r="E39" s="487">
        <v>308295</v>
      </c>
      <c r="F39" s="487"/>
      <c r="G39" s="487"/>
      <c r="H39" s="486">
        <v>14940487</v>
      </c>
      <c r="I39" s="486">
        <v>13414633</v>
      </c>
      <c r="J39" s="487">
        <v>80515</v>
      </c>
      <c r="K39" s="487">
        <v>2550</v>
      </c>
      <c r="L39" s="487"/>
      <c r="M39" s="487">
        <v>13331568</v>
      </c>
      <c r="N39" s="487"/>
      <c r="O39" s="487"/>
      <c r="P39" s="487"/>
      <c r="Q39" s="487"/>
      <c r="R39" s="487">
        <v>1525854</v>
      </c>
      <c r="S39" s="480"/>
      <c r="T39" s="481"/>
      <c r="U39" s="399">
        <f t="shared" si="2"/>
        <v>0</v>
      </c>
    </row>
    <row r="40" spans="1:21" s="398" customFormat="1" ht="34.5" customHeight="1">
      <c r="A40" s="397">
        <v>2</v>
      </c>
      <c r="B40" s="451" t="s">
        <v>458</v>
      </c>
      <c r="C40" s="472">
        <f>SUM(C41:C43)</f>
        <v>64797173</v>
      </c>
      <c r="D40" s="472">
        <f aca="true" t="shared" si="12" ref="D40:R40">SUM(D41:D43)</f>
        <v>57165074</v>
      </c>
      <c r="E40" s="472">
        <f t="shared" si="12"/>
        <v>7632099</v>
      </c>
      <c r="F40" s="472">
        <f t="shared" si="12"/>
        <v>726424</v>
      </c>
      <c r="G40" s="472">
        <f t="shared" si="12"/>
        <v>0</v>
      </c>
      <c r="H40" s="472">
        <f t="shared" si="12"/>
        <v>64070749</v>
      </c>
      <c r="I40" s="472">
        <f t="shared" si="12"/>
        <v>20949658</v>
      </c>
      <c r="J40" s="472">
        <f t="shared" si="12"/>
        <v>1618621</v>
      </c>
      <c r="K40" s="472">
        <f t="shared" si="12"/>
        <v>42677</v>
      </c>
      <c r="L40" s="472">
        <f t="shared" si="12"/>
        <v>5306</v>
      </c>
      <c r="M40" s="472">
        <f t="shared" si="12"/>
        <v>18761214</v>
      </c>
      <c r="N40" s="472">
        <f t="shared" si="12"/>
        <v>0</v>
      </c>
      <c r="O40" s="472">
        <f t="shared" si="12"/>
        <v>0</v>
      </c>
      <c r="P40" s="472">
        <f t="shared" si="12"/>
        <v>0</v>
      </c>
      <c r="Q40" s="472">
        <f t="shared" si="12"/>
        <v>521840</v>
      </c>
      <c r="R40" s="472">
        <f t="shared" si="12"/>
        <v>43121091</v>
      </c>
      <c r="S40" s="472">
        <f t="shared" si="10"/>
        <v>62404145</v>
      </c>
      <c r="T40" s="400">
        <f t="shared" si="11"/>
        <v>7.955280224622283</v>
      </c>
      <c r="U40" s="399">
        <f t="shared" si="2"/>
        <v>0</v>
      </c>
    </row>
    <row r="41" spans="1:21" s="483" customFormat="1" ht="34.5" customHeight="1">
      <c r="A41" s="479">
        <v>2.1</v>
      </c>
      <c r="B41" s="488" t="s">
        <v>459</v>
      </c>
      <c r="C41" s="489">
        <f>D41+E41</f>
        <v>592924</v>
      </c>
      <c r="D41" s="489">
        <v>339640</v>
      </c>
      <c r="E41" s="489">
        <v>253284</v>
      </c>
      <c r="F41" s="489">
        <f>C41-H41</f>
        <v>0</v>
      </c>
      <c r="G41" s="489"/>
      <c r="H41" s="489">
        <f>I41+R41</f>
        <v>592924</v>
      </c>
      <c r="I41" s="489">
        <f>J41+K41+L41+M41+N41+O41+P41+Q41</f>
        <v>411543</v>
      </c>
      <c r="J41" s="489">
        <v>256715</v>
      </c>
      <c r="K41" s="489">
        <v>0</v>
      </c>
      <c r="L41" s="489">
        <v>0</v>
      </c>
      <c r="M41" s="489">
        <v>154828</v>
      </c>
      <c r="N41" s="489"/>
      <c r="O41" s="489"/>
      <c r="P41" s="489"/>
      <c r="Q41" s="490"/>
      <c r="R41" s="489">
        <v>181381</v>
      </c>
      <c r="S41" s="480">
        <f t="shared" si="10"/>
        <v>336209</v>
      </c>
      <c r="T41" s="481">
        <f t="shared" si="11"/>
        <v>62.37865788022151</v>
      </c>
      <c r="U41" s="399">
        <f t="shared" si="2"/>
        <v>0</v>
      </c>
    </row>
    <row r="42" spans="1:21" s="483" customFormat="1" ht="34.5" customHeight="1">
      <c r="A42" s="479">
        <v>2.2</v>
      </c>
      <c r="B42" s="488" t="s">
        <v>460</v>
      </c>
      <c r="C42" s="489">
        <f>D42+E42</f>
        <v>11879549</v>
      </c>
      <c r="D42" s="489">
        <v>10300204</v>
      </c>
      <c r="E42" s="489">
        <v>1579345</v>
      </c>
      <c r="F42" s="489">
        <f>C42-H42</f>
        <v>726424</v>
      </c>
      <c r="G42" s="489"/>
      <c r="H42" s="489">
        <f>I42+R42</f>
        <v>11153125</v>
      </c>
      <c r="I42" s="489">
        <f>J42+K42+L42+M42+N42+O42+P42+Q42</f>
        <v>9761505</v>
      </c>
      <c r="J42" s="489">
        <v>827058</v>
      </c>
      <c r="K42" s="489">
        <v>3130</v>
      </c>
      <c r="L42" s="489">
        <v>5306</v>
      </c>
      <c r="M42" s="489">
        <v>8926011</v>
      </c>
      <c r="N42" s="489"/>
      <c r="O42" s="489"/>
      <c r="P42" s="489"/>
      <c r="Q42" s="490">
        <v>0</v>
      </c>
      <c r="R42" s="489">
        <v>1391620</v>
      </c>
      <c r="S42" s="480">
        <f t="shared" si="10"/>
        <v>10317631</v>
      </c>
      <c r="T42" s="481">
        <f t="shared" si="11"/>
        <v>8.559069528725335</v>
      </c>
      <c r="U42" s="399">
        <f t="shared" si="2"/>
        <v>0</v>
      </c>
    </row>
    <row r="43" spans="1:21" s="483" customFormat="1" ht="34.5" customHeight="1">
      <c r="A43" s="479">
        <v>2.3</v>
      </c>
      <c r="B43" s="488" t="s">
        <v>461</v>
      </c>
      <c r="C43" s="489">
        <f>D43+E43</f>
        <v>52324700</v>
      </c>
      <c r="D43" s="489">
        <v>46525230</v>
      </c>
      <c r="E43" s="489">
        <v>5799470</v>
      </c>
      <c r="F43" s="489"/>
      <c r="G43" s="489"/>
      <c r="H43" s="489">
        <f>I43+R43</f>
        <v>52324700</v>
      </c>
      <c r="I43" s="489">
        <f>J43+K43+L43+M43+N43+O43+P43+Q43</f>
        <v>10776610</v>
      </c>
      <c r="J43" s="489">
        <v>534848</v>
      </c>
      <c r="K43" s="489">
        <v>39547</v>
      </c>
      <c r="L43" s="489">
        <v>0</v>
      </c>
      <c r="M43" s="489">
        <v>9680375</v>
      </c>
      <c r="N43" s="489"/>
      <c r="O43" s="489"/>
      <c r="P43" s="489"/>
      <c r="Q43" s="490">
        <v>521840</v>
      </c>
      <c r="R43" s="489">
        <v>41548090</v>
      </c>
      <c r="S43" s="480">
        <f t="shared" si="10"/>
        <v>51750305</v>
      </c>
      <c r="T43" s="481">
        <f t="shared" si="11"/>
        <v>5.330015654273469</v>
      </c>
      <c r="U43" s="399">
        <f t="shared" si="2"/>
        <v>0</v>
      </c>
    </row>
    <row r="44" spans="1:21" s="398" customFormat="1" ht="34.5" customHeight="1">
      <c r="A44" s="397">
        <v>3</v>
      </c>
      <c r="B44" s="451" t="s">
        <v>463</v>
      </c>
      <c r="C44" s="472">
        <f>C45+C46</f>
        <v>27991971</v>
      </c>
      <c r="D44" s="472">
        <f aca="true" t="shared" si="13" ref="D44:R44">D45+D46</f>
        <v>16282096</v>
      </c>
      <c r="E44" s="472">
        <f t="shared" si="13"/>
        <v>11709875</v>
      </c>
      <c r="F44" s="472">
        <f t="shared" si="13"/>
        <v>4658109</v>
      </c>
      <c r="G44" s="472">
        <f t="shared" si="13"/>
        <v>0</v>
      </c>
      <c r="H44" s="472">
        <f t="shared" si="13"/>
        <v>23333862</v>
      </c>
      <c r="I44" s="472">
        <f t="shared" si="13"/>
        <v>21013690</v>
      </c>
      <c r="J44" s="472">
        <f t="shared" si="13"/>
        <v>207079</v>
      </c>
      <c r="K44" s="472">
        <f t="shared" si="13"/>
        <v>70000</v>
      </c>
      <c r="L44" s="472">
        <f t="shared" si="13"/>
        <v>0</v>
      </c>
      <c r="M44" s="472">
        <f t="shared" si="13"/>
        <v>20663499</v>
      </c>
      <c r="N44" s="472">
        <f t="shared" si="13"/>
        <v>0</v>
      </c>
      <c r="O44" s="472">
        <f t="shared" si="13"/>
        <v>0</v>
      </c>
      <c r="P44" s="472">
        <f t="shared" si="13"/>
        <v>0</v>
      </c>
      <c r="Q44" s="472">
        <f t="shared" si="13"/>
        <v>73112</v>
      </c>
      <c r="R44" s="472">
        <f t="shared" si="13"/>
        <v>2320172</v>
      </c>
      <c r="S44" s="472">
        <f t="shared" si="10"/>
        <v>23056783</v>
      </c>
      <c r="T44" s="400">
        <f t="shared" si="11"/>
        <v>1.3185642312225982</v>
      </c>
      <c r="U44" s="399">
        <f t="shared" si="2"/>
        <v>0</v>
      </c>
    </row>
    <row r="45" spans="1:21" s="483" customFormat="1" ht="34.5" customHeight="1">
      <c r="A45" s="479">
        <v>3.1</v>
      </c>
      <c r="B45" s="491" t="s">
        <v>464</v>
      </c>
      <c r="C45" s="492">
        <f>D45+E45</f>
        <v>22307370</v>
      </c>
      <c r="D45" s="492">
        <v>10693791</v>
      </c>
      <c r="E45" s="492">
        <v>11613579</v>
      </c>
      <c r="F45" s="492">
        <v>4658109</v>
      </c>
      <c r="G45" s="492"/>
      <c r="H45" s="492">
        <f>I45+R45</f>
        <v>17649261</v>
      </c>
      <c r="I45" s="492">
        <f>SUM(J45:Q45)</f>
        <v>17369640</v>
      </c>
      <c r="J45" s="492">
        <v>126873</v>
      </c>
      <c r="K45" s="492">
        <v>70000</v>
      </c>
      <c r="L45" s="492"/>
      <c r="M45" s="492">
        <v>17099655</v>
      </c>
      <c r="N45" s="492"/>
      <c r="O45" s="492">
        <v>0</v>
      </c>
      <c r="P45" s="492"/>
      <c r="Q45" s="492">
        <v>73112</v>
      </c>
      <c r="R45" s="493">
        <v>279621</v>
      </c>
      <c r="S45" s="480">
        <f t="shared" si="10"/>
        <v>17452388</v>
      </c>
      <c r="T45" s="481">
        <f t="shared" si="11"/>
        <v>1.1334316658261196</v>
      </c>
      <c r="U45" s="399">
        <f t="shared" si="2"/>
        <v>0</v>
      </c>
    </row>
    <row r="46" spans="1:21" s="483" customFormat="1" ht="34.5" customHeight="1">
      <c r="A46" s="479">
        <v>3.2</v>
      </c>
      <c r="B46" s="491" t="s">
        <v>465</v>
      </c>
      <c r="C46" s="492">
        <f>D46+E46</f>
        <v>5684601</v>
      </c>
      <c r="D46" s="492">
        <v>5588305</v>
      </c>
      <c r="E46" s="492">
        <v>96296</v>
      </c>
      <c r="F46" s="492">
        <v>0</v>
      </c>
      <c r="G46" s="492"/>
      <c r="H46" s="492">
        <f>I46+R46</f>
        <v>5684601</v>
      </c>
      <c r="I46" s="492">
        <f>SUM(J46:Q46)</f>
        <v>3644050</v>
      </c>
      <c r="J46" s="492">
        <v>80206</v>
      </c>
      <c r="K46" s="492">
        <v>0</v>
      </c>
      <c r="L46" s="492">
        <v>0</v>
      </c>
      <c r="M46" s="492">
        <v>3563844</v>
      </c>
      <c r="N46" s="492">
        <v>0</v>
      </c>
      <c r="O46" s="492">
        <v>0</v>
      </c>
      <c r="P46" s="492">
        <v>0</v>
      </c>
      <c r="Q46" s="492">
        <v>0</v>
      </c>
      <c r="R46" s="493">
        <v>2040551</v>
      </c>
      <c r="S46" s="480">
        <f t="shared" si="10"/>
        <v>5604395</v>
      </c>
      <c r="T46" s="481">
        <f t="shared" si="11"/>
        <v>2.2010126095964653</v>
      </c>
      <c r="U46" s="399">
        <f t="shared" si="2"/>
        <v>0</v>
      </c>
    </row>
    <row r="47" spans="1:21" s="398" customFormat="1" ht="34.5" customHeight="1">
      <c r="A47" s="397">
        <v>4</v>
      </c>
      <c r="B47" s="451" t="s">
        <v>467</v>
      </c>
      <c r="C47" s="472">
        <f>C48</f>
        <v>600</v>
      </c>
      <c r="D47" s="472">
        <f aca="true" t="shared" si="14" ref="D47:R47">D48</f>
        <v>0</v>
      </c>
      <c r="E47" s="472">
        <f t="shared" si="14"/>
        <v>600</v>
      </c>
      <c r="F47" s="472">
        <f t="shared" si="14"/>
        <v>0</v>
      </c>
      <c r="G47" s="472">
        <f t="shared" si="14"/>
        <v>0</v>
      </c>
      <c r="H47" s="472">
        <f t="shared" si="14"/>
        <v>600</v>
      </c>
      <c r="I47" s="472">
        <f t="shared" si="14"/>
        <v>600</v>
      </c>
      <c r="J47" s="472">
        <f t="shared" si="14"/>
        <v>600</v>
      </c>
      <c r="K47" s="472">
        <f t="shared" si="14"/>
        <v>0</v>
      </c>
      <c r="L47" s="472">
        <f t="shared" si="14"/>
        <v>0</v>
      </c>
      <c r="M47" s="472">
        <f t="shared" si="14"/>
        <v>0</v>
      </c>
      <c r="N47" s="472">
        <f t="shared" si="14"/>
        <v>0</v>
      </c>
      <c r="O47" s="472">
        <f t="shared" si="14"/>
        <v>0</v>
      </c>
      <c r="P47" s="472">
        <f t="shared" si="14"/>
        <v>0</v>
      </c>
      <c r="Q47" s="472">
        <f t="shared" si="14"/>
        <v>0</v>
      </c>
      <c r="R47" s="472">
        <f t="shared" si="14"/>
        <v>0</v>
      </c>
      <c r="S47" s="472">
        <f t="shared" si="10"/>
        <v>0</v>
      </c>
      <c r="T47" s="400">
        <f t="shared" si="11"/>
        <v>100</v>
      </c>
      <c r="U47" s="399">
        <f t="shared" si="2"/>
        <v>0</v>
      </c>
    </row>
    <row r="48" spans="1:21" s="483" customFormat="1" ht="34.5" customHeight="1">
      <c r="A48" s="479" t="s">
        <v>111</v>
      </c>
      <c r="B48" s="484" t="s">
        <v>468</v>
      </c>
      <c r="C48" s="480">
        <f>D48+E48</f>
        <v>600</v>
      </c>
      <c r="D48" s="480"/>
      <c r="E48" s="480">
        <v>600</v>
      </c>
      <c r="F48" s="480"/>
      <c r="G48" s="480"/>
      <c r="H48" s="480">
        <f>I48+R48</f>
        <v>600</v>
      </c>
      <c r="I48" s="480">
        <f>SUM(J48:Q48)</f>
        <v>600</v>
      </c>
      <c r="J48" s="480">
        <v>600</v>
      </c>
      <c r="K48" s="480"/>
      <c r="L48" s="494"/>
      <c r="M48" s="494"/>
      <c r="N48" s="494"/>
      <c r="O48" s="495"/>
      <c r="P48" s="495"/>
      <c r="Q48" s="495"/>
      <c r="R48" s="495"/>
      <c r="S48" s="480">
        <f t="shared" si="10"/>
        <v>0</v>
      </c>
      <c r="T48" s="481">
        <f t="shared" si="11"/>
        <v>100</v>
      </c>
      <c r="U48" s="399">
        <f t="shared" si="2"/>
        <v>0</v>
      </c>
    </row>
    <row r="49" spans="1:21" s="398" customFormat="1" ht="34.5" customHeight="1">
      <c r="A49" s="397">
        <v>5</v>
      </c>
      <c r="B49" s="451" t="s">
        <v>469</v>
      </c>
      <c r="C49" s="472">
        <f>SUM(C50:C56)</f>
        <v>507607923</v>
      </c>
      <c r="D49" s="472">
        <f aca="true" t="shared" si="15" ref="D49:R49">SUM(D50:D56)</f>
        <v>488927313</v>
      </c>
      <c r="E49" s="472">
        <f t="shared" si="15"/>
        <v>18680610</v>
      </c>
      <c r="F49" s="472">
        <f t="shared" si="15"/>
        <v>131100</v>
      </c>
      <c r="G49" s="472">
        <f t="shared" si="15"/>
        <v>0</v>
      </c>
      <c r="H49" s="472">
        <f t="shared" si="15"/>
        <v>507476823</v>
      </c>
      <c r="I49" s="472">
        <f t="shared" si="15"/>
        <v>194967071</v>
      </c>
      <c r="J49" s="472">
        <f t="shared" si="15"/>
        <v>20770587</v>
      </c>
      <c r="K49" s="472">
        <f t="shared" si="15"/>
        <v>15621</v>
      </c>
      <c r="L49" s="472">
        <f t="shared" si="15"/>
        <v>0</v>
      </c>
      <c r="M49" s="472">
        <f t="shared" si="15"/>
        <v>174168863</v>
      </c>
      <c r="N49" s="472">
        <f t="shared" si="15"/>
        <v>0</v>
      </c>
      <c r="O49" s="472">
        <f t="shared" si="15"/>
        <v>0</v>
      </c>
      <c r="P49" s="472">
        <f t="shared" si="15"/>
        <v>0</v>
      </c>
      <c r="Q49" s="472">
        <f t="shared" si="15"/>
        <v>12000</v>
      </c>
      <c r="R49" s="472">
        <f t="shared" si="15"/>
        <v>312509752</v>
      </c>
      <c r="S49" s="472">
        <f t="shared" si="10"/>
        <v>486690615</v>
      </c>
      <c r="T49" s="400">
        <f t="shared" si="11"/>
        <v>10.661394200254461</v>
      </c>
      <c r="U49" s="399">
        <f t="shared" si="2"/>
        <v>0</v>
      </c>
    </row>
    <row r="50" spans="1:21" s="483" customFormat="1" ht="34.5" customHeight="1">
      <c r="A50" s="496" t="s">
        <v>112</v>
      </c>
      <c r="B50" s="497" t="s">
        <v>470</v>
      </c>
      <c r="C50" s="498">
        <v>1313953</v>
      </c>
      <c r="D50" s="499">
        <v>1308403</v>
      </c>
      <c r="E50" s="498">
        <v>5550</v>
      </c>
      <c r="F50" s="498">
        <v>0</v>
      </c>
      <c r="G50" s="498">
        <v>0</v>
      </c>
      <c r="H50" s="498">
        <v>1313953</v>
      </c>
      <c r="I50" s="498">
        <v>69470</v>
      </c>
      <c r="J50" s="498">
        <v>5150</v>
      </c>
      <c r="K50" s="498">
        <v>0</v>
      </c>
      <c r="L50" s="498">
        <v>0</v>
      </c>
      <c r="M50" s="500">
        <v>64320</v>
      </c>
      <c r="N50" s="498">
        <v>0</v>
      </c>
      <c r="O50" s="498">
        <v>0</v>
      </c>
      <c r="P50" s="498">
        <v>0</v>
      </c>
      <c r="Q50" s="501">
        <v>0</v>
      </c>
      <c r="R50" s="501">
        <v>1244483</v>
      </c>
      <c r="S50" s="480">
        <f t="shared" si="10"/>
        <v>1308803</v>
      </c>
      <c r="T50" s="481">
        <f t="shared" si="11"/>
        <v>7.413271915934935</v>
      </c>
      <c r="U50" s="399">
        <f t="shared" si="2"/>
        <v>0</v>
      </c>
    </row>
    <row r="51" spans="1:21" s="483" customFormat="1" ht="34.5" customHeight="1">
      <c r="A51" s="496" t="s">
        <v>113</v>
      </c>
      <c r="B51" s="497" t="s">
        <v>471</v>
      </c>
      <c r="C51" s="498">
        <v>291728536</v>
      </c>
      <c r="D51" s="499">
        <v>284483551</v>
      </c>
      <c r="E51" s="498">
        <v>7244985</v>
      </c>
      <c r="F51" s="498">
        <v>0</v>
      </c>
      <c r="G51" s="498">
        <v>0</v>
      </c>
      <c r="H51" s="498">
        <v>291728536</v>
      </c>
      <c r="I51" s="498">
        <v>57817372</v>
      </c>
      <c r="J51" s="498">
        <v>17637452</v>
      </c>
      <c r="K51" s="498">
        <v>0</v>
      </c>
      <c r="L51" s="498">
        <v>0</v>
      </c>
      <c r="M51" s="500">
        <v>40167920</v>
      </c>
      <c r="N51" s="498">
        <v>0</v>
      </c>
      <c r="O51" s="498">
        <v>0</v>
      </c>
      <c r="P51" s="498">
        <v>0</v>
      </c>
      <c r="Q51" s="501">
        <v>12000</v>
      </c>
      <c r="R51" s="501">
        <v>233911164</v>
      </c>
      <c r="S51" s="480">
        <f t="shared" si="10"/>
        <v>274091084</v>
      </c>
      <c r="T51" s="481">
        <f t="shared" si="11"/>
        <v>30.505454312243728</v>
      </c>
      <c r="U51" s="399">
        <f t="shared" si="2"/>
        <v>0</v>
      </c>
    </row>
    <row r="52" spans="1:21" s="483" customFormat="1" ht="34.5" customHeight="1">
      <c r="A52" s="496" t="s">
        <v>114</v>
      </c>
      <c r="B52" s="497" t="s">
        <v>545</v>
      </c>
      <c r="C52" s="498">
        <v>49514451</v>
      </c>
      <c r="D52" s="499">
        <v>48387681</v>
      </c>
      <c r="E52" s="498">
        <v>1126770</v>
      </c>
      <c r="F52" s="498">
        <v>130100</v>
      </c>
      <c r="G52" s="498">
        <v>0</v>
      </c>
      <c r="H52" s="498">
        <v>49384351</v>
      </c>
      <c r="I52" s="498">
        <v>24902677</v>
      </c>
      <c r="J52" s="498">
        <v>83070</v>
      </c>
      <c r="K52" s="498">
        <v>10341</v>
      </c>
      <c r="L52" s="498">
        <v>0</v>
      </c>
      <c r="M52" s="500">
        <v>24809266</v>
      </c>
      <c r="N52" s="498">
        <v>0</v>
      </c>
      <c r="O52" s="498">
        <v>0</v>
      </c>
      <c r="P52" s="498">
        <v>0</v>
      </c>
      <c r="Q52" s="501">
        <v>0</v>
      </c>
      <c r="R52" s="501">
        <v>24481674</v>
      </c>
      <c r="S52" s="480">
        <f t="shared" si="10"/>
        <v>49290940</v>
      </c>
      <c r="T52" s="481">
        <f t="shared" si="11"/>
        <v>0.3751042508401808</v>
      </c>
      <c r="U52" s="399">
        <f t="shared" si="2"/>
        <v>0</v>
      </c>
    </row>
    <row r="53" spans="1:21" s="483" customFormat="1" ht="34.5" customHeight="1">
      <c r="A53" s="496" t="s">
        <v>473</v>
      </c>
      <c r="B53" s="497" t="s">
        <v>474</v>
      </c>
      <c r="C53" s="498">
        <v>14676007</v>
      </c>
      <c r="D53" s="499">
        <v>14039043</v>
      </c>
      <c r="E53" s="498">
        <v>636964</v>
      </c>
      <c r="F53" s="498">
        <v>800</v>
      </c>
      <c r="G53" s="498">
        <v>0</v>
      </c>
      <c r="H53" s="498">
        <v>14675207</v>
      </c>
      <c r="I53" s="498">
        <v>4073661</v>
      </c>
      <c r="J53" s="498">
        <v>31413</v>
      </c>
      <c r="K53" s="498">
        <v>5280</v>
      </c>
      <c r="L53" s="498">
        <v>0</v>
      </c>
      <c r="M53" s="500">
        <v>4036968</v>
      </c>
      <c r="N53" s="498">
        <v>0</v>
      </c>
      <c r="O53" s="498">
        <v>0</v>
      </c>
      <c r="P53" s="498">
        <v>0</v>
      </c>
      <c r="Q53" s="501">
        <v>0</v>
      </c>
      <c r="R53" s="501">
        <v>10601546</v>
      </c>
      <c r="S53" s="480">
        <f t="shared" si="10"/>
        <v>14638514</v>
      </c>
      <c r="T53" s="481">
        <f t="shared" si="11"/>
        <v>0.9007376902496305</v>
      </c>
      <c r="U53" s="399">
        <f t="shared" si="2"/>
        <v>0</v>
      </c>
    </row>
    <row r="54" spans="1:21" s="483" customFormat="1" ht="34.5" customHeight="1">
      <c r="A54" s="496" t="s">
        <v>475</v>
      </c>
      <c r="B54" s="497" t="s">
        <v>476</v>
      </c>
      <c r="C54" s="498">
        <v>49843507</v>
      </c>
      <c r="D54" s="499">
        <v>49789646</v>
      </c>
      <c r="E54" s="498">
        <v>53861</v>
      </c>
      <c r="F54" s="498">
        <v>0</v>
      </c>
      <c r="G54" s="498">
        <v>0</v>
      </c>
      <c r="H54" s="498">
        <v>49843507</v>
      </c>
      <c r="I54" s="498">
        <v>29212622</v>
      </c>
      <c r="J54" s="498">
        <v>25840</v>
      </c>
      <c r="K54" s="498">
        <v>0</v>
      </c>
      <c r="L54" s="498">
        <v>0</v>
      </c>
      <c r="M54" s="500">
        <v>29186782</v>
      </c>
      <c r="N54" s="498">
        <v>0</v>
      </c>
      <c r="O54" s="498">
        <v>0</v>
      </c>
      <c r="P54" s="498">
        <v>0</v>
      </c>
      <c r="Q54" s="501">
        <v>0</v>
      </c>
      <c r="R54" s="501">
        <v>20630885</v>
      </c>
      <c r="S54" s="480">
        <f t="shared" si="10"/>
        <v>49817667</v>
      </c>
      <c r="T54" s="481">
        <f t="shared" si="11"/>
        <v>0.08845491513907927</v>
      </c>
      <c r="U54" s="399">
        <f t="shared" si="2"/>
        <v>0</v>
      </c>
    </row>
    <row r="55" spans="1:21" s="483" customFormat="1" ht="34.5" customHeight="1">
      <c r="A55" s="496" t="s">
        <v>477</v>
      </c>
      <c r="B55" s="497" t="s">
        <v>478</v>
      </c>
      <c r="C55" s="498">
        <v>54509352</v>
      </c>
      <c r="D55" s="499">
        <v>45323828</v>
      </c>
      <c r="E55" s="498">
        <v>9185524</v>
      </c>
      <c r="F55" s="498">
        <v>200</v>
      </c>
      <c r="G55" s="498">
        <v>0</v>
      </c>
      <c r="H55" s="498">
        <v>54509152</v>
      </c>
      <c r="I55" s="498">
        <v>44274578</v>
      </c>
      <c r="J55" s="498">
        <v>1641710</v>
      </c>
      <c r="K55" s="498">
        <v>0</v>
      </c>
      <c r="L55" s="498">
        <v>0</v>
      </c>
      <c r="M55" s="500">
        <v>42632868</v>
      </c>
      <c r="N55" s="498">
        <v>0</v>
      </c>
      <c r="O55" s="498">
        <v>0</v>
      </c>
      <c r="P55" s="498">
        <v>0</v>
      </c>
      <c r="Q55" s="501">
        <v>0</v>
      </c>
      <c r="R55" s="501">
        <v>10234574</v>
      </c>
      <c r="S55" s="480">
        <f t="shared" si="10"/>
        <v>52867442</v>
      </c>
      <c r="T55" s="481">
        <f t="shared" si="11"/>
        <v>3.708019532111633</v>
      </c>
      <c r="U55" s="399">
        <f t="shared" si="2"/>
        <v>0</v>
      </c>
    </row>
    <row r="56" spans="1:21" s="483" customFormat="1" ht="34.5" customHeight="1">
      <c r="A56" s="496" t="s">
        <v>479</v>
      </c>
      <c r="B56" s="497" t="s">
        <v>480</v>
      </c>
      <c r="C56" s="498">
        <v>46022117</v>
      </c>
      <c r="D56" s="499">
        <v>45595161</v>
      </c>
      <c r="E56" s="498">
        <v>426956</v>
      </c>
      <c r="F56" s="498">
        <v>0</v>
      </c>
      <c r="G56" s="498">
        <v>0</v>
      </c>
      <c r="H56" s="498">
        <v>46022117</v>
      </c>
      <c r="I56" s="498">
        <v>34616691</v>
      </c>
      <c r="J56" s="498">
        <v>1345952</v>
      </c>
      <c r="K56" s="498">
        <v>0</v>
      </c>
      <c r="L56" s="498">
        <v>0</v>
      </c>
      <c r="M56" s="500">
        <v>33270739</v>
      </c>
      <c r="N56" s="498">
        <v>0</v>
      </c>
      <c r="O56" s="498">
        <v>0</v>
      </c>
      <c r="P56" s="498">
        <v>0</v>
      </c>
      <c r="Q56" s="501">
        <v>0</v>
      </c>
      <c r="R56" s="501">
        <v>11405426</v>
      </c>
      <c r="S56" s="480">
        <f t="shared" si="10"/>
        <v>44676165</v>
      </c>
      <c r="T56" s="481">
        <f t="shared" si="11"/>
        <v>3.8881590386556586</v>
      </c>
      <c r="U56" s="399">
        <f t="shared" si="2"/>
        <v>0</v>
      </c>
    </row>
    <row r="57" spans="1:21" s="398" customFormat="1" ht="34.5" customHeight="1">
      <c r="A57" s="397">
        <v>6</v>
      </c>
      <c r="B57" s="451" t="s">
        <v>481</v>
      </c>
      <c r="C57" s="472">
        <f>SUM(C58:C62)</f>
        <v>335401087</v>
      </c>
      <c r="D57" s="472">
        <f aca="true" t="shared" si="16" ref="D57:R57">SUM(D58:D62)</f>
        <v>121652883</v>
      </c>
      <c r="E57" s="472">
        <f t="shared" si="16"/>
        <v>213748204</v>
      </c>
      <c r="F57" s="472">
        <f t="shared" si="16"/>
        <v>1716107</v>
      </c>
      <c r="G57" s="472">
        <f t="shared" si="16"/>
        <v>0</v>
      </c>
      <c r="H57" s="472">
        <f t="shared" si="16"/>
        <v>333684980</v>
      </c>
      <c r="I57" s="472">
        <f t="shared" si="16"/>
        <v>234201558</v>
      </c>
      <c r="J57" s="472">
        <f t="shared" si="16"/>
        <v>11709614</v>
      </c>
      <c r="K57" s="472">
        <f t="shared" si="16"/>
        <v>2568938</v>
      </c>
      <c r="L57" s="472">
        <f t="shared" si="16"/>
        <v>0</v>
      </c>
      <c r="M57" s="472">
        <f t="shared" si="16"/>
        <v>219791055</v>
      </c>
      <c r="N57" s="472">
        <f t="shared" si="16"/>
        <v>131951</v>
      </c>
      <c r="O57" s="472">
        <f t="shared" si="16"/>
        <v>0</v>
      </c>
      <c r="P57" s="472">
        <f t="shared" si="16"/>
        <v>0</v>
      </c>
      <c r="Q57" s="472">
        <f t="shared" si="16"/>
        <v>0</v>
      </c>
      <c r="R57" s="472">
        <f t="shared" si="16"/>
        <v>99483422</v>
      </c>
      <c r="S57" s="472">
        <f t="shared" si="10"/>
        <v>319406428</v>
      </c>
      <c r="T57" s="400">
        <f t="shared" si="11"/>
        <v>6.0966938571775</v>
      </c>
      <c r="U57" s="399">
        <f t="shared" si="2"/>
        <v>0</v>
      </c>
    </row>
    <row r="58" spans="1:21" s="483" customFormat="1" ht="34.5" customHeight="1">
      <c r="A58" s="479" t="s">
        <v>564</v>
      </c>
      <c r="B58" s="491" t="s">
        <v>482</v>
      </c>
      <c r="C58" s="502">
        <f>D58+E58</f>
        <v>58706270</v>
      </c>
      <c r="D58" s="502">
        <v>23493512</v>
      </c>
      <c r="E58" s="502">
        <v>35212758</v>
      </c>
      <c r="F58" s="502">
        <v>400</v>
      </c>
      <c r="G58" s="502"/>
      <c r="H58" s="502">
        <f>I58+R58</f>
        <v>58705870</v>
      </c>
      <c r="I58" s="502">
        <f>SUM(J58:Q58)</f>
        <v>49979263</v>
      </c>
      <c r="J58" s="502">
        <v>11110166</v>
      </c>
      <c r="K58" s="502">
        <v>2019596</v>
      </c>
      <c r="L58" s="502"/>
      <c r="M58" s="502">
        <v>36849501</v>
      </c>
      <c r="N58" s="502"/>
      <c r="O58" s="502"/>
      <c r="P58" s="502"/>
      <c r="Q58" s="502"/>
      <c r="R58" s="502">
        <v>8726607</v>
      </c>
      <c r="S58" s="480">
        <f t="shared" si="10"/>
        <v>45576108</v>
      </c>
      <c r="T58" s="481">
        <f t="shared" si="11"/>
        <v>26.27041939373936</v>
      </c>
      <c r="U58" s="399">
        <f t="shared" si="2"/>
        <v>0</v>
      </c>
    </row>
    <row r="59" spans="1:21" s="483" customFormat="1" ht="34.5" customHeight="1">
      <c r="A59" s="479" t="s">
        <v>565</v>
      </c>
      <c r="B59" s="491" t="s">
        <v>483</v>
      </c>
      <c r="C59" s="502">
        <f>D59+E59</f>
        <v>44903136</v>
      </c>
      <c r="D59" s="502">
        <v>981477</v>
      </c>
      <c r="E59" s="502">
        <v>43921659</v>
      </c>
      <c r="F59" s="502">
        <v>3900</v>
      </c>
      <c r="G59" s="502"/>
      <c r="H59" s="502">
        <f>I59+R59</f>
        <v>44899236</v>
      </c>
      <c r="I59" s="502">
        <f>SUM(J59:Q59)</f>
        <v>44128453</v>
      </c>
      <c r="J59" s="502">
        <v>108605</v>
      </c>
      <c r="K59" s="502">
        <v>1847</v>
      </c>
      <c r="L59" s="502"/>
      <c r="M59" s="502">
        <v>44018001</v>
      </c>
      <c r="N59" s="502"/>
      <c r="O59" s="502"/>
      <c r="P59" s="502"/>
      <c r="Q59" s="502"/>
      <c r="R59" s="502">
        <v>770783</v>
      </c>
      <c r="S59" s="480">
        <f t="shared" si="10"/>
        <v>44788784</v>
      </c>
      <c r="T59" s="481">
        <f t="shared" si="11"/>
        <v>0.2502965603620866</v>
      </c>
      <c r="U59" s="399">
        <f t="shared" si="2"/>
        <v>0</v>
      </c>
    </row>
    <row r="60" spans="1:21" s="483" customFormat="1" ht="34.5" customHeight="1">
      <c r="A60" s="479" t="s">
        <v>566</v>
      </c>
      <c r="B60" s="491" t="s">
        <v>484</v>
      </c>
      <c r="C60" s="502">
        <f>D60+E60</f>
        <v>114729654</v>
      </c>
      <c r="D60" s="502">
        <v>77199785</v>
      </c>
      <c r="E60" s="502">
        <v>37529869</v>
      </c>
      <c r="F60" s="502">
        <v>78037</v>
      </c>
      <c r="G60" s="502"/>
      <c r="H60" s="502">
        <f>I60+R60</f>
        <v>114651617</v>
      </c>
      <c r="I60" s="502">
        <f>SUM(J60:Q60)</f>
        <v>28521931</v>
      </c>
      <c r="J60" s="502">
        <v>127691</v>
      </c>
      <c r="K60" s="502">
        <v>401830</v>
      </c>
      <c r="L60" s="502"/>
      <c r="M60" s="502">
        <v>27860459</v>
      </c>
      <c r="N60" s="502">
        <v>131951</v>
      </c>
      <c r="O60" s="502"/>
      <c r="P60" s="502"/>
      <c r="Q60" s="502"/>
      <c r="R60" s="502">
        <v>86129686</v>
      </c>
      <c r="S60" s="480">
        <f t="shared" si="10"/>
        <v>114122096</v>
      </c>
      <c r="T60" s="481">
        <f t="shared" si="11"/>
        <v>1.8565397973931006</v>
      </c>
      <c r="U60" s="399">
        <f t="shared" si="2"/>
        <v>0</v>
      </c>
    </row>
    <row r="61" spans="1:21" s="483" customFormat="1" ht="34.5" customHeight="1">
      <c r="A61" s="479" t="s">
        <v>567</v>
      </c>
      <c r="B61" s="491" t="s">
        <v>485</v>
      </c>
      <c r="C61" s="502">
        <f>D61+E61</f>
        <v>106918764</v>
      </c>
      <c r="D61" s="502">
        <v>17350970</v>
      </c>
      <c r="E61" s="502">
        <v>89567794</v>
      </c>
      <c r="F61" s="502">
        <v>1633770</v>
      </c>
      <c r="G61" s="502"/>
      <c r="H61" s="502">
        <f>I61+R61</f>
        <v>105284994</v>
      </c>
      <c r="I61" s="502">
        <f>SUM(J61:Q61)</f>
        <v>102837597</v>
      </c>
      <c r="J61" s="502">
        <v>286637</v>
      </c>
      <c r="K61" s="502">
        <v>145664</v>
      </c>
      <c r="L61" s="502"/>
      <c r="M61" s="502">
        <v>102405296</v>
      </c>
      <c r="N61" s="502"/>
      <c r="O61" s="502"/>
      <c r="P61" s="502"/>
      <c r="Q61" s="502"/>
      <c r="R61" s="502">
        <v>2447397</v>
      </c>
      <c r="S61" s="480">
        <f t="shared" si="10"/>
        <v>104852693</v>
      </c>
      <c r="T61" s="481">
        <f t="shared" si="11"/>
        <v>0.4203725219289206</v>
      </c>
      <c r="U61" s="399">
        <f t="shared" si="2"/>
        <v>0</v>
      </c>
    </row>
    <row r="62" spans="1:21" s="483" customFormat="1" ht="34.5" customHeight="1">
      <c r="A62" s="479" t="s">
        <v>568</v>
      </c>
      <c r="B62" s="491" t="s">
        <v>546</v>
      </c>
      <c r="C62" s="502">
        <f>D62+E62</f>
        <v>10143263</v>
      </c>
      <c r="D62" s="502">
        <v>2627139</v>
      </c>
      <c r="E62" s="502">
        <v>7516124</v>
      </c>
      <c r="F62" s="502"/>
      <c r="G62" s="502"/>
      <c r="H62" s="502">
        <f>I62+R62</f>
        <v>10143263</v>
      </c>
      <c r="I62" s="502">
        <f>SUM(J62:Q62)</f>
        <v>8734314</v>
      </c>
      <c r="J62" s="502">
        <v>76515</v>
      </c>
      <c r="K62" s="502">
        <v>1</v>
      </c>
      <c r="L62" s="502"/>
      <c r="M62" s="502">
        <v>8657798</v>
      </c>
      <c r="N62" s="502"/>
      <c r="O62" s="502"/>
      <c r="P62" s="502"/>
      <c r="Q62" s="502"/>
      <c r="R62" s="502">
        <v>1408949</v>
      </c>
      <c r="S62" s="480">
        <f t="shared" si="10"/>
        <v>10066747</v>
      </c>
      <c r="T62" s="481">
        <f t="shared" si="11"/>
        <v>0.8760390340901415</v>
      </c>
      <c r="U62" s="399">
        <f t="shared" si="2"/>
        <v>0</v>
      </c>
    </row>
    <row r="63" spans="1:21" s="398" customFormat="1" ht="34.5" customHeight="1">
      <c r="A63" s="397">
        <v>7</v>
      </c>
      <c r="B63" s="458" t="s">
        <v>527</v>
      </c>
      <c r="C63" s="472">
        <f>SUM(C64:C71)</f>
        <v>535496918</v>
      </c>
      <c r="D63" s="472">
        <f aca="true" t="shared" si="17" ref="D63:R63">SUM(D64:D71)</f>
        <v>324285082</v>
      </c>
      <c r="E63" s="472">
        <f t="shared" si="17"/>
        <v>211211836</v>
      </c>
      <c r="F63" s="472">
        <f t="shared" si="17"/>
        <v>4830</v>
      </c>
      <c r="G63" s="472">
        <f t="shared" si="17"/>
        <v>9109528</v>
      </c>
      <c r="H63" s="472">
        <f t="shared" si="17"/>
        <v>535492088</v>
      </c>
      <c r="I63" s="472">
        <f t="shared" si="17"/>
        <v>359344969</v>
      </c>
      <c r="J63" s="472">
        <f t="shared" si="17"/>
        <v>8102388</v>
      </c>
      <c r="K63" s="472">
        <f t="shared" si="17"/>
        <v>3855398</v>
      </c>
      <c r="L63" s="472">
        <f t="shared" si="17"/>
        <v>0</v>
      </c>
      <c r="M63" s="472">
        <f t="shared" si="17"/>
        <v>347370554</v>
      </c>
      <c r="N63" s="472">
        <f t="shared" si="17"/>
        <v>0</v>
      </c>
      <c r="O63" s="472">
        <f t="shared" si="17"/>
        <v>0</v>
      </c>
      <c r="P63" s="472">
        <f t="shared" si="17"/>
        <v>0</v>
      </c>
      <c r="Q63" s="472">
        <f t="shared" si="17"/>
        <v>16629</v>
      </c>
      <c r="R63" s="472">
        <f t="shared" si="17"/>
        <v>176147119</v>
      </c>
      <c r="S63" s="472">
        <f t="shared" si="10"/>
        <v>523534302</v>
      </c>
      <c r="T63" s="400">
        <f t="shared" si="11"/>
        <v>3.3276620049187335</v>
      </c>
      <c r="U63" s="399">
        <f t="shared" si="2"/>
        <v>0</v>
      </c>
    </row>
    <row r="64" spans="1:21" s="483" customFormat="1" ht="34.5" customHeight="1">
      <c r="A64" s="496" t="s">
        <v>558</v>
      </c>
      <c r="B64" s="503" t="s">
        <v>487</v>
      </c>
      <c r="C64" s="489">
        <f aca="true" t="shared" si="18" ref="C64:C71">D64+E64</f>
        <v>202866001</v>
      </c>
      <c r="D64" s="489">
        <f>99333350-8151301-36366726-406363+406408</f>
        <v>54815368</v>
      </c>
      <c r="E64" s="489">
        <v>148050633</v>
      </c>
      <c r="F64" s="489">
        <v>0</v>
      </c>
      <c r="G64" s="489"/>
      <c r="H64" s="489">
        <f aca="true" t="shared" si="19" ref="H64:H71">I64+R64</f>
        <v>202866001</v>
      </c>
      <c r="I64" s="489">
        <f>SUM(J64:Q64)</f>
        <v>192168460</v>
      </c>
      <c r="J64" s="489">
        <v>3191892</v>
      </c>
      <c r="K64" s="489">
        <v>0</v>
      </c>
      <c r="L64" s="489"/>
      <c r="M64" s="489">
        <f>188570160+406408</f>
        <v>188976568</v>
      </c>
      <c r="N64" s="489"/>
      <c r="O64" s="489"/>
      <c r="P64" s="489"/>
      <c r="Q64" s="490"/>
      <c r="R64" s="504">
        <v>10697541</v>
      </c>
      <c r="S64" s="480">
        <f t="shared" si="10"/>
        <v>199674109</v>
      </c>
      <c r="T64" s="481">
        <f t="shared" si="11"/>
        <v>1.660986407446883</v>
      </c>
      <c r="U64" s="399">
        <f t="shared" si="2"/>
        <v>0</v>
      </c>
    </row>
    <row r="65" spans="1:21" s="483" customFormat="1" ht="34.5" customHeight="1">
      <c r="A65" s="496" t="s">
        <v>559</v>
      </c>
      <c r="B65" s="503" t="s">
        <v>488</v>
      </c>
      <c r="C65" s="489">
        <f t="shared" si="18"/>
        <v>66957473</v>
      </c>
      <c r="D65" s="505">
        <f>66220500-254250</f>
        <v>65966250</v>
      </c>
      <c r="E65" s="505">
        <f>878389+112834</f>
        <v>991223</v>
      </c>
      <c r="F65" s="489">
        <v>4230</v>
      </c>
      <c r="G65" s="505">
        <v>0</v>
      </c>
      <c r="H65" s="489">
        <f t="shared" si="19"/>
        <v>66953243</v>
      </c>
      <c r="I65" s="489">
        <f aca="true" t="shared" si="20" ref="I65:I71">SUM(J65:Q65)</f>
        <v>35886185</v>
      </c>
      <c r="J65" s="505">
        <v>43789</v>
      </c>
      <c r="K65" s="505">
        <f>2194000</f>
        <v>2194000</v>
      </c>
      <c r="L65" s="505">
        <v>0</v>
      </c>
      <c r="M65" s="505">
        <f>33557629+74138</f>
        <v>33631767</v>
      </c>
      <c r="N65" s="505">
        <v>0</v>
      </c>
      <c r="O65" s="505">
        <v>0</v>
      </c>
      <c r="P65" s="505">
        <v>0</v>
      </c>
      <c r="Q65" s="506">
        <v>16629</v>
      </c>
      <c r="R65" s="505">
        <v>31067058</v>
      </c>
      <c r="S65" s="480">
        <f t="shared" si="10"/>
        <v>64715454</v>
      </c>
      <c r="T65" s="481">
        <f t="shared" si="11"/>
        <v>6.235795195281972</v>
      </c>
      <c r="U65" s="399">
        <f t="shared" si="2"/>
        <v>0</v>
      </c>
    </row>
    <row r="66" spans="1:21" s="483" customFormat="1" ht="34.5" customHeight="1">
      <c r="A66" s="496" t="s">
        <v>560</v>
      </c>
      <c r="B66" s="503" t="s">
        <v>547</v>
      </c>
      <c r="C66" s="489">
        <f t="shared" si="18"/>
        <v>57538041</v>
      </c>
      <c r="D66" s="489">
        <v>18253984</v>
      </c>
      <c r="E66" s="489">
        <v>39284057</v>
      </c>
      <c r="F66" s="489">
        <v>200</v>
      </c>
      <c r="G66" s="489"/>
      <c r="H66" s="489">
        <f t="shared" si="19"/>
        <v>57537841</v>
      </c>
      <c r="I66" s="489">
        <f t="shared" si="20"/>
        <v>43572646</v>
      </c>
      <c r="J66" s="489">
        <v>105839</v>
      </c>
      <c r="K66" s="489">
        <v>203200</v>
      </c>
      <c r="L66" s="489"/>
      <c r="M66" s="489">
        <v>43263607</v>
      </c>
      <c r="N66" s="489"/>
      <c r="O66" s="489"/>
      <c r="P66" s="489"/>
      <c r="Q66" s="490">
        <v>0</v>
      </c>
      <c r="R66" s="504">
        <v>13965195</v>
      </c>
      <c r="S66" s="480">
        <f t="shared" si="10"/>
        <v>57228802</v>
      </c>
      <c r="T66" s="481">
        <f t="shared" si="11"/>
        <v>0.7092500189224221</v>
      </c>
      <c r="U66" s="399">
        <f t="shared" si="2"/>
        <v>0</v>
      </c>
    </row>
    <row r="67" spans="1:21" s="483" customFormat="1" ht="34.5" customHeight="1">
      <c r="A67" s="496" t="s">
        <v>561</v>
      </c>
      <c r="B67" s="503" t="s">
        <v>490</v>
      </c>
      <c r="C67" s="489">
        <f t="shared" si="18"/>
        <v>34721107</v>
      </c>
      <c r="D67" s="489">
        <f>44850213-16371173</f>
        <v>28479040</v>
      </c>
      <c r="E67" s="489">
        <v>6242067</v>
      </c>
      <c r="F67" s="489">
        <v>400</v>
      </c>
      <c r="G67" s="489"/>
      <c r="H67" s="489">
        <f t="shared" si="19"/>
        <v>34720707</v>
      </c>
      <c r="I67" s="489">
        <f t="shared" si="20"/>
        <v>7983568</v>
      </c>
      <c r="J67" s="489">
        <v>247746</v>
      </c>
      <c r="K67" s="489">
        <v>1398812</v>
      </c>
      <c r="L67" s="489"/>
      <c r="M67" s="489">
        <v>6337010</v>
      </c>
      <c r="N67" s="489"/>
      <c r="O67" s="489"/>
      <c r="P67" s="489"/>
      <c r="Q67" s="490">
        <v>0</v>
      </c>
      <c r="R67" s="504">
        <v>26737139</v>
      </c>
      <c r="S67" s="480">
        <f t="shared" si="10"/>
        <v>33074149</v>
      </c>
      <c r="T67" s="481">
        <f t="shared" si="11"/>
        <v>20.624337388997</v>
      </c>
      <c r="U67" s="399">
        <f t="shared" si="2"/>
        <v>0</v>
      </c>
    </row>
    <row r="68" spans="1:21" s="483" customFormat="1" ht="34.5" customHeight="1">
      <c r="A68" s="496" t="s">
        <v>562</v>
      </c>
      <c r="B68" s="503" t="s">
        <v>491</v>
      </c>
      <c r="C68" s="489">
        <f t="shared" si="18"/>
        <v>76209053</v>
      </c>
      <c r="D68" s="489">
        <f>84228674-25943827+16371173</f>
        <v>74656020</v>
      </c>
      <c r="E68" s="492">
        <v>1553033</v>
      </c>
      <c r="F68" s="489">
        <v>0</v>
      </c>
      <c r="G68" s="489"/>
      <c r="H68" s="489">
        <f t="shared" si="19"/>
        <v>76209053</v>
      </c>
      <c r="I68" s="489">
        <f t="shared" si="20"/>
        <v>57822741</v>
      </c>
      <c r="J68" s="489">
        <v>68556</v>
      </c>
      <c r="K68" s="489">
        <v>2386</v>
      </c>
      <c r="L68" s="489"/>
      <c r="M68" s="489">
        <v>57751799</v>
      </c>
      <c r="N68" s="489"/>
      <c r="O68" s="489"/>
      <c r="P68" s="489"/>
      <c r="Q68" s="490">
        <v>0</v>
      </c>
      <c r="R68" s="504">
        <v>18386312</v>
      </c>
      <c r="S68" s="480">
        <f t="shared" si="10"/>
        <v>76138111</v>
      </c>
      <c r="T68" s="481">
        <f t="shared" si="11"/>
        <v>0.1226887532017896</v>
      </c>
      <c r="U68" s="399">
        <f t="shared" si="2"/>
        <v>0</v>
      </c>
    </row>
    <row r="69" spans="1:21" s="483" customFormat="1" ht="34.5" customHeight="1">
      <c r="A69" s="496" t="s">
        <v>563</v>
      </c>
      <c r="B69" s="503" t="s">
        <v>492</v>
      </c>
      <c r="C69" s="489">
        <f t="shared" si="18"/>
        <v>51765049</v>
      </c>
      <c r="D69" s="489">
        <f>11398316+36366726</f>
        <v>47765042</v>
      </c>
      <c r="E69" s="489">
        <v>4000007</v>
      </c>
      <c r="F69" s="489">
        <v>0</v>
      </c>
      <c r="G69" s="489">
        <v>9109528</v>
      </c>
      <c r="H69" s="489">
        <f t="shared" si="19"/>
        <v>51765049</v>
      </c>
      <c r="I69" s="489">
        <f t="shared" si="20"/>
        <v>9837897</v>
      </c>
      <c r="J69" s="489">
        <f>3993551+116800</f>
        <v>4110351</v>
      </c>
      <c r="K69" s="489">
        <v>57000</v>
      </c>
      <c r="L69" s="489"/>
      <c r="M69" s="489">
        <f>6423448+36366726-37002828-116800</f>
        <v>5670546</v>
      </c>
      <c r="N69" s="489"/>
      <c r="O69" s="489"/>
      <c r="P69" s="489"/>
      <c r="Q69" s="490">
        <v>0</v>
      </c>
      <c r="R69" s="504">
        <v>41927152</v>
      </c>
      <c r="S69" s="480">
        <f t="shared" si="10"/>
        <v>47597698</v>
      </c>
      <c r="T69" s="481">
        <f t="shared" si="11"/>
        <v>42.36018124605289</v>
      </c>
      <c r="U69" s="399">
        <f t="shared" si="2"/>
        <v>0</v>
      </c>
    </row>
    <row r="70" spans="1:21" s="483" customFormat="1" ht="34.5" customHeight="1">
      <c r="A70" s="496" t="s">
        <v>615</v>
      </c>
      <c r="B70" s="507" t="s">
        <v>613</v>
      </c>
      <c r="C70" s="489">
        <f t="shared" si="18"/>
        <v>19069038</v>
      </c>
      <c r="D70" s="489">
        <f>8151301+254250</f>
        <v>8405551</v>
      </c>
      <c r="E70" s="489">
        <v>10663487</v>
      </c>
      <c r="F70" s="489">
        <v>0</v>
      </c>
      <c r="G70" s="489">
        <v>0</v>
      </c>
      <c r="H70" s="489">
        <f t="shared" si="19"/>
        <v>19069038</v>
      </c>
      <c r="I70" s="489">
        <f t="shared" si="20"/>
        <v>11229068</v>
      </c>
      <c r="J70" s="489">
        <v>330545</v>
      </c>
      <c r="K70" s="489">
        <v>0</v>
      </c>
      <c r="L70" s="489">
        <v>0</v>
      </c>
      <c r="M70" s="489">
        <f>10898523-30300+30300</f>
        <v>10898523</v>
      </c>
      <c r="N70" s="489">
        <v>0</v>
      </c>
      <c r="O70" s="489">
        <v>0</v>
      </c>
      <c r="P70" s="489">
        <v>0</v>
      </c>
      <c r="Q70" s="490">
        <v>0</v>
      </c>
      <c r="R70" s="504">
        <v>7839970</v>
      </c>
      <c r="S70" s="480">
        <f>M70+N70+O70+P70+Q70+R70</f>
        <v>18738493</v>
      </c>
      <c r="T70" s="481">
        <f>(J70+K70+L70)/I70*100</f>
        <v>2.9436548073268414</v>
      </c>
      <c r="U70" s="399">
        <f t="shared" si="2"/>
        <v>0</v>
      </c>
    </row>
    <row r="71" spans="1:21" s="483" customFormat="1" ht="34.5" customHeight="1">
      <c r="A71" s="496" t="s">
        <v>616</v>
      </c>
      <c r="B71" s="507" t="s">
        <v>614</v>
      </c>
      <c r="C71" s="489">
        <f t="shared" si="18"/>
        <v>26371156</v>
      </c>
      <c r="D71" s="489">
        <v>25943827</v>
      </c>
      <c r="E71" s="489">
        <v>427329</v>
      </c>
      <c r="F71" s="489">
        <v>0</v>
      </c>
      <c r="G71" s="489">
        <v>0</v>
      </c>
      <c r="H71" s="489">
        <f t="shared" si="19"/>
        <v>26371156</v>
      </c>
      <c r="I71" s="489">
        <f t="shared" si="20"/>
        <v>844404</v>
      </c>
      <c r="J71" s="489">
        <f>3070+600</f>
        <v>3670</v>
      </c>
      <c r="K71" s="489">
        <v>0</v>
      </c>
      <c r="L71" s="489">
        <v>0</v>
      </c>
      <c r="M71" s="489">
        <f>836234+4500</f>
        <v>840734</v>
      </c>
      <c r="N71" s="489">
        <v>0</v>
      </c>
      <c r="O71" s="489">
        <v>0</v>
      </c>
      <c r="P71" s="489">
        <v>0</v>
      </c>
      <c r="Q71" s="490">
        <v>0</v>
      </c>
      <c r="R71" s="504">
        <v>25526752</v>
      </c>
      <c r="S71" s="480">
        <f>M71+N71+O71+P71+Q71+R71</f>
        <v>26367486</v>
      </c>
      <c r="T71" s="481">
        <f>(J71+K71+L71)/I71*100</f>
        <v>0.4346260794595952</v>
      </c>
      <c r="U71" s="399">
        <f t="shared" si="2"/>
        <v>0</v>
      </c>
    </row>
    <row r="72" spans="1:21" s="398" customFormat="1" ht="34.5" customHeight="1">
      <c r="A72" s="397">
        <v>8</v>
      </c>
      <c r="B72" s="451" t="s">
        <v>493</v>
      </c>
      <c r="C72" s="472">
        <f>SUM(C73:C75)</f>
        <v>145697496</v>
      </c>
      <c r="D72" s="472">
        <f aca="true" t="shared" si="21" ref="D72:R72">SUM(D73:D75)</f>
        <v>40111419</v>
      </c>
      <c r="E72" s="472">
        <f t="shared" si="21"/>
        <v>105586077</v>
      </c>
      <c r="F72" s="472">
        <f t="shared" si="21"/>
        <v>2510392</v>
      </c>
      <c r="G72" s="472">
        <f t="shared" si="21"/>
        <v>0</v>
      </c>
      <c r="H72" s="472">
        <f t="shared" si="21"/>
        <v>143187104</v>
      </c>
      <c r="I72" s="472">
        <f t="shared" si="21"/>
        <v>128192187</v>
      </c>
      <c r="J72" s="472">
        <f t="shared" si="21"/>
        <v>580114</v>
      </c>
      <c r="K72" s="472">
        <f t="shared" si="21"/>
        <v>608</v>
      </c>
      <c r="L72" s="472">
        <f t="shared" si="21"/>
        <v>0</v>
      </c>
      <c r="M72" s="472">
        <f t="shared" si="21"/>
        <v>127602363</v>
      </c>
      <c r="N72" s="472">
        <f t="shared" si="21"/>
        <v>0</v>
      </c>
      <c r="O72" s="472">
        <f t="shared" si="21"/>
        <v>9102</v>
      </c>
      <c r="P72" s="472">
        <f t="shared" si="21"/>
        <v>0</v>
      </c>
      <c r="Q72" s="472">
        <f t="shared" si="21"/>
        <v>0</v>
      </c>
      <c r="R72" s="472">
        <f t="shared" si="21"/>
        <v>14994917</v>
      </c>
      <c r="S72" s="472">
        <f t="shared" si="10"/>
        <v>142606382</v>
      </c>
      <c r="T72" s="400">
        <f t="shared" si="11"/>
        <v>0.4530088873513017</v>
      </c>
      <c r="U72" s="399">
        <f aca="true" t="shared" si="22" ref="U13:U79">C72-F72-H72</f>
        <v>0</v>
      </c>
    </row>
    <row r="73" spans="1:21" s="483" customFormat="1" ht="34.5" customHeight="1">
      <c r="A73" s="496" t="s">
        <v>494</v>
      </c>
      <c r="B73" s="484" t="s">
        <v>495</v>
      </c>
      <c r="C73" s="502">
        <f>D73+E73</f>
        <v>64803170</v>
      </c>
      <c r="D73" s="502">
        <v>2877896</v>
      </c>
      <c r="E73" s="502">
        <v>61925274</v>
      </c>
      <c r="F73" s="502">
        <v>0</v>
      </c>
      <c r="G73" s="502"/>
      <c r="H73" s="502">
        <f>I73+R73</f>
        <v>64803170</v>
      </c>
      <c r="I73" s="502">
        <f>J73+K73+L73+M73+N73+O73+P73+Q73</f>
        <v>63270001</v>
      </c>
      <c r="J73" s="502">
        <v>390252</v>
      </c>
      <c r="K73" s="502">
        <v>0</v>
      </c>
      <c r="L73" s="502"/>
      <c r="M73" s="502">
        <v>62879749</v>
      </c>
      <c r="N73" s="502"/>
      <c r="O73" s="502"/>
      <c r="P73" s="502"/>
      <c r="Q73" s="502"/>
      <c r="R73" s="502">
        <v>1533169</v>
      </c>
      <c r="S73" s="480">
        <f t="shared" si="10"/>
        <v>64412918</v>
      </c>
      <c r="T73" s="481">
        <f t="shared" si="11"/>
        <v>0.6168041628448844</v>
      </c>
      <c r="U73" s="482">
        <f t="shared" si="22"/>
        <v>0</v>
      </c>
    </row>
    <row r="74" spans="1:21" s="483" customFormat="1" ht="34.5" customHeight="1">
      <c r="A74" s="496" t="s">
        <v>496</v>
      </c>
      <c r="B74" s="484" t="s">
        <v>497</v>
      </c>
      <c r="C74" s="502">
        <f>D74+E74</f>
        <v>29643201</v>
      </c>
      <c r="D74" s="502">
        <v>20591095</v>
      </c>
      <c r="E74" s="502">
        <v>9052106</v>
      </c>
      <c r="F74" s="502">
        <v>0</v>
      </c>
      <c r="G74" s="502">
        <v>0</v>
      </c>
      <c r="H74" s="502">
        <f>I74+R74</f>
        <v>29643201</v>
      </c>
      <c r="I74" s="502">
        <f>J74+K74+L74+M74+N74+O74+P74+Q74</f>
        <v>21723193</v>
      </c>
      <c r="J74" s="502">
        <v>115875</v>
      </c>
      <c r="K74" s="502">
        <v>608</v>
      </c>
      <c r="L74" s="502"/>
      <c r="M74" s="502">
        <v>21597608</v>
      </c>
      <c r="N74" s="502"/>
      <c r="O74" s="502">
        <v>9102</v>
      </c>
      <c r="P74" s="502"/>
      <c r="Q74" s="502"/>
      <c r="R74" s="502">
        <v>7920008</v>
      </c>
      <c r="S74" s="480">
        <f t="shared" si="10"/>
        <v>29526718</v>
      </c>
      <c r="T74" s="481">
        <f t="shared" si="11"/>
        <v>0.5362149109479439</v>
      </c>
      <c r="U74" s="482">
        <f t="shared" si="22"/>
        <v>0</v>
      </c>
    </row>
    <row r="75" spans="1:21" s="483" customFormat="1" ht="34.5" customHeight="1">
      <c r="A75" s="496" t="s">
        <v>548</v>
      </c>
      <c r="B75" s="484" t="s">
        <v>489</v>
      </c>
      <c r="C75" s="502">
        <f>D75+E75</f>
        <v>51251125</v>
      </c>
      <c r="D75" s="502">
        <v>16642428</v>
      </c>
      <c r="E75" s="502">
        <v>34608697</v>
      </c>
      <c r="F75" s="502">
        <v>2510392</v>
      </c>
      <c r="G75" s="502"/>
      <c r="H75" s="502">
        <f>I75+R75</f>
        <v>48740733</v>
      </c>
      <c r="I75" s="502">
        <f>J75+K75+L75+M75+N75+O75+P75+Q75</f>
        <v>43198993</v>
      </c>
      <c r="J75" s="502">
        <v>73987</v>
      </c>
      <c r="K75" s="502">
        <v>0</v>
      </c>
      <c r="L75" s="502"/>
      <c r="M75" s="502">
        <v>43125006</v>
      </c>
      <c r="N75" s="502"/>
      <c r="O75" s="502"/>
      <c r="P75" s="502"/>
      <c r="Q75" s="502"/>
      <c r="R75" s="502">
        <v>5541740</v>
      </c>
      <c r="S75" s="480">
        <f t="shared" si="10"/>
        <v>48666746</v>
      </c>
      <c r="T75" s="481">
        <f t="shared" si="11"/>
        <v>0.1712701960436902</v>
      </c>
      <c r="U75" s="482">
        <f t="shared" si="22"/>
        <v>0</v>
      </c>
    </row>
    <row r="76" spans="1:21" s="398" customFormat="1" ht="34.5" customHeight="1">
      <c r="A76" s="397">
        <v>9</v>
      </c>
      <c r="B76" s="451" t="s">
        <v>498</v>
      </c>
      <c r="C76" s="472">
        <f>SUM(C77:C79)</f>
        <v>12918024</v>
      </c>
      <c r="D76" s="472">
        <f aca="true" t="shared" si="23" ref="D76:R76">SUM(D77:D79)</f>
        <v>9962981</v>
      </c>
      <c r="E76" s="472">
        <f t="shared" si="23"/>
        <v>2955043</v>
      </c>
      <c r="F76" s="472">
        <f t="shared" si="23"/>
        <v>10940</v>
      </c>
      <c r="G76" s="472">
        <f t="shared" si="23"/>
        <v>0</v>
      </c>
      <c r="H76" s="472">
        <f t="shared" si="23"/>
        <v>12907084</v>
      </c>
      <c r="I76" s="472">
        <f t="shared" si="23"/>
        <v>10717728</v>
      </c>
      <c r="J76" s="472">
        <f t="shared" si="23"/>
        <v>902672</v>
      </c>
      <c r="K76" s="472">
        <f t="shared" si="23"/>
        <v>48825</v>
      </c>
      <c r="L76" s="472">
        <f t="shared" si="23"/>
        <v>0</v>
      </c>
      <c r="M76" s="472">
        <f t="shared" si="23"/>
        <v>9766231</v>
      </c>
      <c r="N76" s="472">
        <f t="shared" si="23"/>
        <v>0</v>
      </c>
      <c r="O76" s="472">
        <f t="shared" si="23"/>
        <v>0</v>
      </c>
      <c r="P76" s="472">
        <f t="shared" si="23"/>
        <v>0</v>
      </c>
      <c r="Q76" s="472">
        <f t="shared" si="23"/>
        <v>0</v>
      </c>
      <c r="R76" s="472">
        <f t="shared" si="23"/>
        <v>2189356</v>
      </c>
      <c r="S76" s="472">
        <f t="shared" si="10"/>
        <v>11955587</v>
      </c>
      <c r="T76" s="400">
        <f t="shared" si="11"/>
        <v>8.877786411448396</v>
      </c>
      <c r="U76" s="399">
        <f t="shared" si="22"/>
        <v>0</v>
      </c>
    </row>
    <row r="77" spans="1:21" s="483" customFormat="1" ht="34.5" customHeight="1">
      <c r="A77" s="496" t="s">
        <v>499</v>
      </c>
      <c r="B77" s="488" t="s">
        <v>617</v>
      </c>
      <c r="C77" s="489">
        <f>SUM(D77:E77)</f>
        <v>2725329</v>
      </c>
      <c r="D77" s="489">
        <v>2666893</v>
      </c>
      <c r="E77" s="489">
        <f>8400+28650+21386</f>
        <v>58436</v>
      </c>
      <c r="F77" s="489">
        <f>5000+5940</f>
        <v>10940</v>
      </c>
      <c r="G77" s="489">
        <v>0</v>
      </c>
      <c r="H77" s="489">
        <f>I77+R77</f>
        <v>2714389</v>
      </c>
      <c r="I77" s="489">
        <f>SUM(J77:Q77)</f>
        <v>2296901</v>
      </c>
      <c r="J77" s="489">
        <f>7050+5110+675130+23686</f>
        <v>710976</v>
      </c>
      <c r="K77" s="489">
        <f>27853</f>
        <v>27853</v>
      </c>
      <c r="L77" s="489">
        <v>0</v>
      </c>
      <c r="M77" s="489">
        <f>C77-J77-K77-L77-N77-O77-P77-Q77-R77-F77-G77</f>
        <v>1558072</v>
      </c>
      <c r="N77" s="489">
        <v>0</v>
      </c>
      <c r="O77" s="489">
        <v>0</v>
      </c>
      <c r="P77" s="489">
        <v>0</v>
      </c>
      <c r="Q77" s="490">
        <v>0</v>
      </c>
      <c r="R77" s="504">
        <f>438988-21500</f>
        <v>417488</v>
      </c>
      <c r="S77" s="480">
        <f t="shared" si="10"/>
        <v>1975560</v>
      </c>
      <c r="T77" s="481">
        <f t="shared" si="11"/>
        <v>32.16634064768137</v>
      </c>
      <c r="U77" s="482">
        <f t="shared" si="22"/>
        <v>0</v>
      </c>
    </row>
    <row r="78" spans="1:21" s="483" customFormat="1" ht="34.5" customHeight="1">
      <c r="A78" s="496" t="s">
        <v>500</v>
      </c>
      <c r="B78" s="488" t="s">
        <v>618</v>
      </c>
      <c r="C78" s="489">
        <f>SUM(D78:E78)</f>
        <v>6878203</v>
      </c>
      <c r="D78" s="489">
        <v>4516556</v>
      </c>
      <c r="E78" s="489">
        <f>846210-59+155330+1360166</f>
        <v>2361647</v>
      </c>
      <c r="F78" s="489">
        <v>0</v>
      </c>
      <c r="G78" s="489">
        <v>0</v>
      </c>
      <c r="H78" s="489">
        <f>I78+R78</f>
        <v>6878203</v>
      </c>
      <c r="I78" s="489">
        <f>SUM(J78:Q78)</f>
        <v>5760745</v>
      </c>
      <c r="J78" s="489">
        <f>93000+5928</f>
        <v>98928</v>
      </c>
      <c r="K78" s="489">
        <f>10000</f>
        <v>10000</v>
      </c>
      <c r="L78" s="489">
        <v>0</v>
      </c>
      <c r="M78" s="489">
        <f>C78-J78-K78-L78-N78-O78-P78-Q78-R78-F78-G78</f>
        <v>5651817</v>
      </c>
      <c r="N78" s="489">
        <v>0</v>
      </c>
      <c r="O78" s="489">
        <v>0</v>
      </c>
      <c r="P78" s="489">
        <v>0</v>
      </c>
      <c r="Q78" s="490">
        <v>0</v>
      </c>
      <c r="R78" s="504">
        <f>390935-52717-3081+700000+37321+45000</f>
        <v>1117458</v>
      </c>
      <c r="S78" s="480">
        <f t="shared" si="10"/>
        <v>6769275</v>
      </c>
      <c r="T78" s="481">
        <f t="shared" si="11"/>
        <v>1.890866545906823</v>
      </c>
      <c r="U78" s="482">
        <f t="shared" si="22"/>
        <v>0</v>
      </c>
    </row>
    <row r="79" spans="1:21" s="483" customFormat="1" ht="34.5" customHeight="1">
      <c r="A79" s="496" t="s">
        <v>501</v>
      </c>
      <c r="B79" s="488" t="s">
        <v>619</v>
      </c>
      <c r="C79" s="489">
        <f>SUM(D79:E79)</f>
        <v>3314492</v>
      </c>
      <c r="D79" s="489">
        <v>2779532</v>
      </c>
      <c r="E79" s="489">
        <f>425014+15200+85930+8816</f>
        <v>534960</v>
      </c>
      <c r="F79" s="489">
        <v>0</v>
      </c>
      <c r="G79" s="489">
        <v>0</v>
      </c>
      <c r="H79" s="489">
        <f>I79+R79</f>
        <v>3314492</v>
      </c>
      <c r="I79" s="489">
        <f>SUM(J79:Q79)</f>
        <v>2660082</v>
      </c>
      <c r="J79" s="489">
        <f>10350+49502+32916</f>
        <v>92768</v>
      </c>
      <c r="K79" s="489">
        <f>10972</f>
        <v>10972</v>
      </c>
      <c r="L79" s="489">
        <v>0</v>
      </c>
      <c r="M79" s="489">
        <f>C79-J79-K79-L79-N79-O79-P79-Q79-R79-F79-G79</f>
        <v>2556342</v>
      </c>
      <c r="N79" s="489">
        <v>0</v>
      </c>
      <c r="O79" s="489">
        <v>0</v>
      </c>
      <c r="P79" s="489">
        <v>0</v>
      </c>
      <c r="Q79" s="490">
        <v>0</v>
      </c>
      <c r="R79" s="504">
        <f>571173-29780+411-37786+57836+33070+2650+56836</f>
        <v>654410</v>
      </c>
      <c r="S79" s="480">
        <f t="shared" si="10"/>
        <v>3210752</v>
      </c>
      <c r="T79" s="481">
        <f t="shared" si="11"/>
        <v>3.8998797781421777</v>
      </c>
      <c r="U79" s="482">
        <f t="shared" si="22"/>
        <v>0</v>
      </c>
    </row>
    <row r="80" spans="1:21" s="398" customFormat="1" ht="34.5" customHeight="1">
      <c r="A80" s="397">
        <v>10</v>
      </c>
      <c r="B80" s="451" t="s">
        <v>502</v>
      </c>
      <c r="C80" s="472">
        <f>SUM(C81:C89)</f>
        <v>418781336</v>
      </c>
      <c r="D80" s="472">
        <f aca="true" t="shared" si="24" ref="D80:R80">SUM(D81:D89)</f>
        <v>382562132</v>
      </c>
      <c r="E80" s="472">
        <f t="shared" si="24"/>
        <v>36219204</v>
      </c>
      <c r="F80" s="472">
        <f t="shared" si="24"/>
        <v>809494</v>
      </c>
      <c r="G80" s="472">
        <f t="shared" si="24"/>
        <v>0</v>
      </c>
      <c r="H80" s="472">
        <f t="shared" si="24"/>
        <v>417971842</v>
      </c>
      <c r="I80" s="472">
        <f t="shared" si="24"/>
        <v>147419918</v>
      </c>
      <c r="J80" s="472">
        <f t="shared" si="24"/>
        <v>2688275</v>
      </c>
      <c r="K80" s="472">
        <f t="shared" si="24"/>
        <v>1446321</v>
      </c>
      <c r="L80" s="472">
        <f t="shared" si="24"/>
        <v>0</v>
      </c>
      <c r="M80" s="472">
        <f t="shared" si="24"/>
        <v>142233613</v>
      </c>
      <c r="N80" s="472">
        <f t="shared" si="24"/>
        <v>249239</v>
      </c>
      <c r="O80" s="472">
        <f t="shared" si="24"/>
        <v>0</v>
      </c>
      <c r="P80" s="472">
        <f t="shared" si="24"/>
        <v>0</v>
      </c>
      <c r="Q80" s="472">
        <f t="shared" si="24"/>
        <v>802470</v>
      </c>
      <c r="R80" s="472">
        <f t="shared" si="24"/>
        <v>270551924</v>
      </c>
      <c r="S80" s="472">
        <f t="shared" si="10"/>
        <v>413837246</v>
      </c>
      <c r="T80" s="400">
        <f t="shared" si="11"/>
        <v>2.804638651338824</v>
      </c>
      <c r="U80" s="399">
        <f aca="true" t="shared" si="25" ref="U80:U121">C80-F80-H80</f>
        <v>0</v>
      </c>
    </row>
    <row r="81" spans="1:21" s="483" customFormat="1" ht="34.5" customHeight="1">
      <c r="A81" s="496" t="s">
        <v>528</v>
      </c>
      <c r="B81" s="508" t="s">
        <v>472</v>
      </c>
      <c r="C81" s="487">
        <v>11506017</v>
      </c>
      <c r="D81" s="487">
        <v>5284886</v>
      </c>
      <c r="E81" s="487">
        <v>6221131</v>
      </c>
      <c r="F81" s="487">
        <v>0</v>
      </c>
      <c r="G81" s="487">
        <v>0</v>
      </c>
      <c r="H81" s="487">
        <v>11506017</v>
      </c>
      <c r="I81" s="487">
        <v>8083669</v>
      </c>
      <c r="J81" s="487">
        <v>1734030</v>
      </c>
      <c r="K81" s="487">
        <v>0</v>
      </c>
      <c r="L81" s="487">
        <v>0</v>
      </c>
      <c r="M81" s="487">
        <v>6349639</v>
      </c>
      <c r="N81" s="487">
        <v>0</v>
      </c>
      <c r="O81" s="487">
        <v>0</v>
      </c>
      <c r="P81" s="487">
        <v>0</v>
      </c>
      <c r="Q81" s="487">
        <v>0</v>
      </c>
      <c r="R81" s="487">
        <v>3422348</v>
      </c>
      <c r="S81" s="480">
        <f t="shared" si="10"/>
        <v>9771987</v>
      </c>
      <c r="T81" s="481">
        <f t="shared" si="11"/>
        <v>21.451026755301335</v>
      </c>
      <c r="U81" s="482">
        <f t="shared" si="25"/>
        <v>0</v>
      </c>
    </row>
    <row r="82" spans="1:21" s="483" customFormat="1" ht="34.5" customHeight="1">
      <c r="A82" s="496" t="s">
        <v>573</v>
      </c>
      <c r="B82" s="508" t="s">
        <v>576</v>
      </c>
      <c r="C82" s="487">
        <v>184387129</v>
      </c>
      <c r="D82" s="487">
        <v>158358464</v>
      </c>
      <c r="E82" s="487">
        <v>26028665</v>
      </c>
      <c r="F82" s="487">
        <v>0</v>
      </c>
      <c r="G82" s="487">
        <v>0</v>
      </c>
      <c r="H82" s="487">
        <v>184387129</v>
      </c>
      <c r="I82" s="487">
        <v>34500081</v>
      </c>
      <c r="J82" s="487">
        <v>426837</v>
      </c>
      <c r="K82" s="487">
        <v>63234</v>
      </c>
      <c r="L82" s="487">
        <v>0</v>
      </c>
      <c r="M82" s="487">
        <v>33908324</v>
      </c>
      <c r="N82" s="487">
        <v>101686</v>
      </c>
      <c r="O82" s="487">
        <v>0</v>
      </c>
      <c r="P82" s="487">
        <v>0</v>
      </c>
      <c r="Q82" s="487">
        <v>0</v>
      </c>
      <c r="R82" s="487">
        <v>149887048</v>
      </c>
      <c r="S82" s="480">
        <f t="shared" si="10"/>
        <v>183897058</v>
      </c>
      <c r="T82" s="481">
        <f t="shared" si="11"/>
        <v>1.4204923171049946</v>
      </c>
      <c r="U82" s="482">
        <f t="shared" si="25"/>
        <v>0</v>
      </c>
    </row>
    <row r="83" spans="1:21" s="483" customFormat="1" ht="34.5" customHeight="1">
      <c r="A83" s="496" t="s">
        <v>529</v>
      </c>
      <c r="B83" s="508" t="s">
        <v>503</v>
      </c>
      <c r="C83" s="487">
        <v>5740700</v>
      </c>
      <c r="D83" s="487">
        <v>5632767</v>
      </c>
      <c r="E83" s="487">
        <v>107933</v>
      </c>
      <c r="F83" s="487">
        <v>650</v>
      </c>
      <c r="G83" s="487">
        <v>0</v>
      </c>
      <c r="H83" s="487">
        <v>5740050</v>
      </c>
      <c r="I83" s="487">
        <v>5023624</v>
      </c>
      <c r="J83" s="487">
        <v>40509</v>
      </c>
      <c r="K83" s="487">
        <v>664987</v>
      </c>
      <c r="L83" s="487">
        <v>0</v>
      </c>
      <c r="M83" s="487">
        <v>4318128</v>
      </c>
      <c r="N83" s="487">
        <v>0</v>
      </c>
      <c r="O83" s="487">
        <v>0</v>
      </c>
      <c r="P83" s="487">
        <v>0</v>
      </c>
      <c r="Q83" s="487">
        <v>0</v>
      </c>
      <c r="R83" s="487">
        <v>716426</v>
      </c>
      <c r="S83" s="480">
        <f t="shared" si="10"/>
        <v>5034554</v>
      </c>
      <c r="T83" s="481">
        <f t="shared" si="11"/>
        <v>14.043566954851716</v>
      </c>
      <c r="U83" s="482">
        <f t="shared" si="25"/>
        <v>0</v>
      </c>
    </row>
    <row r="84" spans="1:21" s="483" customFormat="1" ht="34.5" customHeight="1">
      <c r="A84" s="496" t="s">
        <v>530</v>
      </c>
      <c r="B84" s="508" t="s">
        <v>550</v>
      </c>
      <c r="C84" s="487">
        <v>7876331</v>
      </c>
      <c r="D84" s="487">
        <v>7663235</v>
      </c>
      <c r="E84" s="487">
        <v>213096</v>
      </c>
      <c r="F84" s="487">
        <v>0</v>
      </c>
      <c r="G84" s="487">
        <v>0</v>
      </c>
      <c r="H84" s="487">
        <v>7876331</v>
      </c>
      <c r="I84" s="487">
        <v>6002583</v>
      </c>
      <c r="J84" s="487">
        <v>23585</v>
      </c>
      <c r="K84" s="487">
        <v>18100</v>
      </c>
      <c r="L84" s="487">
        <v>0</v>
      </c>
      <c r="M84" s="487">
        <v>5158428</v>
      </c>
      <c r="N84" s="487">
        <v>0</v>
      </c>
      <c r="O84" s="487">
        <v>0</v>
      </c>
      <c r="P84" s="487">
        <v>0</v>
      </c>
      <c r="Q84" s="487">
        <v>802470</v>
      </c>
      <c r="R84" s="487">
        <v>1873748</v>
      </c>
      <c r="S84" s="480">
        <f t="shared" si="10"/>
        <v>7834646</v>
      </c>
      <c r="T84" s="481">
        <f t="shared" si="11"/>
        <v>0.6944510388277847</v>
      </c>
      <c r="U84" s="482">
        <f t="shared" si="25"/>
        <v>0</v>
      </c>
    </row>
    <row r="85" spans="1:21" s="483" customFormat="1" ht="34.5" customHeight="1">
      <c r="A85" s="496" t="s">
        <v>531</v>
      </c>
      <c r="B85" s="508" t="s">
        <v>504</v>
      </c>
      <c r="C85" s="487">
        <v>37144295</v>
      </c>
      <c r="D85" s="487">
        <v>36792039</v>
      </c>
      <c r="E85" s="487">
        <v>352256</v>
      </c>
      <c r="F85" s="487">
        <v>808844</v>
      </c>
      <c r="G85" s="487">
        <v>0</v>
      </c>
      <c r="H85" s="487">
        <v>36335451</v>
      </c>
      <c r="I85" s="487">
        <v>35536387</v>
      </c>
      <c r="J85" s="487">
        <v>47271</v>
      </c>
      <c r="K85" s="487">
        <v>0</v>
      </c>
      <c r="L85" s="487">
        <v>0</v>
      </c>
      <c r="M85" s="487">
        <v>35489116</v>
      </c>
      <c r="N85" s="487">
        <v>0</v>
      </c>
      <c r="O85" s="487">
        <v>0</v>
      </c>
      <c r="P85" s="487">
        <v>0</v>
      </c>
      <c r="Q85" s="487">
        <v>0</v>
      </c>
      <c r="R85" s="487">
        <v>799064</v>
      </c>
      <c r="S85" s="480">
        <f t="shared" si="10"/>
        <v>36288180</v>
      </c>
      <c r="T85" s="481">
        <f t="shared" si="11"/>
        <v>0.13302140141596275</v>
      </c>
      <c r="U85" s="482">
        <f t="shared" si="25"/>
        <v>0</v>
      </c>
    </row>
    <row r="86" spans="1:21" s="483" customFormat="1" ht="34.5" customHeight="1">
      <c r="A86" s="496" t="s">
        <v>532</v>
      </c>
      <c r="B86" s="508" t="s">
        <v>506</v>
      </c>
      <c r="C86" s="487">
        <v>77311630</v>
      </c>
      <c r="D86" s="487">
        <v>75578191</v>
      </c>
      <c r="E86" s="487">
        <v>1733439</v>
      </c>
      <c r="F86" s="487">
        <v>0</v>
      </c>
      <c r="G86" s="487">
        <v>0</v>
      </c>
      <c r="H86" s="487">
        <v>77311630</v>
      </c>
      <c r="I86" s="487">
        <v>7014862</v>
      </c>
      <c r="J86" s="487">
        <v>72808</v>
      </c>
      <c r="K86" s="487">
        <v>700000</v>
      </c>
      <c r="L86" s="487">
        <v>0</v>
      </c>
      <c r="M86" s="487">
        <v>6242054</v>
      </c>
      <c r="N86" s="487">
        <v>0</v>
      </c>
      <c r="O86" s="487">
        <v>0</v>
      </c>
      <c r="P86" s="487">
        <v>0</v>
      </c>
      <c r="Q86" s="487">
        <v>0</v>
      </c>
      <c r="R86" s="487">
        <v>70296768</v>
      </c>
      <c r="S86" s="480">
        <f t="shared" si="10"/>
        <v>76538822</v>
      </c>
      <c r="T86" s="481">
        <f t="shared" si="11"/>
        <v>11.01672420640634</v>
      </c>
      <c r="U86" s="482">
        <f t="shared" si="25"/>
        <v>0</v>
      </c>
    </row>
    <row r="87" spans="1:21" s="483" customFormat="1" ht="34.5" customHeight="1">
      <c r="A87" s="496" t="s">
        <v>505</v>
      </c>
      <c r="B87" s="509" t="s">
        <v>551</v>
      </c>
      <c r="C87" s="510">
        <v>28838313</v>
      </c>
      <c r="D87" s="510">
        <v>28521499</v>
      </c>
      <c r="E87" s="510">
        <v>316814</v>
      </c>
      <c r="F87" s="510">
        <v>0</v>
      </c>
      <c r="G87" s="510">
        <v>0</v>
      </c>
      <c r="H87" s="510">
        <v>28838313</v>
      </c>
      <c r="I87" s="510">
        <v>11647401</v>
      </c>
      <c r="J87" s="510">
        <v>128757</v>
      </c>
      <c r="K87" s="510">
        <v>0</v>
      </c>
      <c r="L87" s="510">
        <v>0</v>
      </c>
      <c r="M87" s="510">
        <v>11371091</v>
      </c>
      <c r="N87" s="510">
        <v>147553</v>
      </c>
      <c r="O87" s="510">
        <v>0</v>
      </c>
      <c r="P87" s="510">
        <v>0</v>
      </c>
      <c r="Q87" s="510">
        <v>0</v>
      </c>
      <c r="R87" s="510">
        <v>17190912</v>
      </c>
      <c r="S87" s="480">
        <f t="shared" si="10"/>
        <v>28709556</v>
      </c>
      <c r="T87" s="481">
        <f t="shared" si="11"/>
        <v>1.1054569169551216</v>
      </c>
      <c r="U87" s="482">
        <f t="shared" si="25"/>
        <v>0</v>
      </c>
    </row>
    <row r="88" spans="1:21" s="483" customFormat="1" ht="34.5" customHeight="1">
      <c r="A88" s="496" t="s">
        <v>507</v>
      </c>
      <c r="B88" s="508" t="s">
        <v>552</v>
      </c>
      <c r="C88" s="487">
        <v>56804271</v>
      </c>
      <c r="D88" s="487">
        <v>55885926</v>
      </c>
      <c r="E88" s="487">
        <v>918345</v>
      </c>
      <c r="F88" s="487">
        <v>0</v>
      </c>
      <c r="G88" s="487">
        <v>0</v>
      </c>
      <c r="H88" s="487">
        <v>56804271</v>
      </c>
      <c r="I88" s="487">
        <v>33171965</v>
      </c>
      <c r="J88" s="487">
        <v>66969</v>
      </c>
      <c r="K88" s="487">
        <v>0</v>
      </c>
      <c r="L88" s="487">
        <v>0</v>
      </c>
      <c r="M88" s="487">
        <v>33104996</v>
      </c>
      <c r="N88" s="487">
        <v>0</v>
      </c>
      <c r="O88" s="487">
        <v>0</v>
      </c>
      <c r="P88" s="487">
        <v>0</v>
      </c>
      <c r="Q88" s="487">
        <v>0</v>
      </c>
      <c r="R88" s="487">
        <v>23632306</v>
      </c>
      <c r="S88" s="480">
        <f t="shared" si="10"/>
        <v>56737302</v>
      </c>
      <c r="T88" s="481">
        <f t="shared" si="11"/>
        <v>0.20188433214613605</v>
      </c>
      <c r="U88" s="482">
        <f t="shared" si="25"/>
        <v>0</v>
      </c>
    </row>
    <row r="89" spans="1:21" s="483" customFormat="1" ht="34.5" customHeight="1">
      <c r="A89" s="496" t="s">
        <v>508</v>
      </c>
      <c r="B89" s="508" t="s">
        <v>509</v>
      </c>
      <c r="C89" s="487">
        <v>9172650</v>
      </c>
      <c r="D89" s="487">
        <v>8845125</v>
      </c>
      <c r="E89" s="487">
        <v>327525</v>
      </c>
      <c r="F89" s="487">
        <v>0</v>
      </c>
      <c r="G89" s="487">
        <v>0</v>
      </c>
      <c r="H89" s="487">
        <v>9172650</v>
      </c>
      <c r="I89" s="487">
        <v>6439346</v>
      </c>
      <c r="J89" s="487">
        <v>147509</v>
      </c>
      <c r="K89" s="487">
        <v>0</v>
      </c>
      <c r="L89" s="487">
        <v>0</v>
      </c>
      <c r="M89" s="487">
        <v>6291837</v>
      </c>
      <c r="N89" s="487">
        <v>0</v>
      </c>
      <c r="O89" s="487">
        <v>0</v>
      </c>
      <c r="P89" s="487">
        <v>0</v>
      </c>
      <c r="Q89" s="487">
        <v>0</v>
      </c>
      <c r="R89" s="487">
        <v>2733304</v>
      </c>
      <c r="S89" s="480">
        <f t="shared" si="10"/>
        <v>9025141</v>
      </c>
      <c r="T89" s="481">
        <f t="shared" si="11"/>
        <v>2.290745053923178</v>
      </c>
      <c r="U89" s="482">
        <f t="shared" si="25"/>
        <v>0</v>
      </c>
    </row>
    <row r="90" spans="1:21" s="398" customFormat="1" ht="34.5" customHeight="1">
      <c r="A90" s="397">
        <v>11</v>
      </c>
      <c r="B90" s="451" t="s">
        <v>510</v>
      </c>
      <c r="C90" s="472">
        <f>SUM(C91:C93)</f>
        <v>14462637</v>
      </c>
      <c r="D90" s="472">
        <f aca="true" t="shared" si="26" ref="D90:R90">SUM(D91:D93)</f>
        <v>9423123</v>
      </c>
      <c r="E90" s="472">
        <f t="shared" si="26"/>
        <v>5039514</v>
      </c>
      <c r="F90" s="472">
        <f t="shared" si="26"/>
        <v>400</v>
      </c>
      <c r="G90" s="472">
        <f t="shared" si="26"/>
        <v>0</v>
      </c>
      <c r="H90" s="472">
        <f t="shared" si="26"/>
        <v>14462237</v>
      </c>
      <c r="I90" s="472">
        <f t="shared" si="26"/>
        <v>9319172</v>
      </c>
      <c r="J90" s="472">
        <f t="shared" si="26"/>
        <v>48900</v>
      </c>
      <c r="K90" s="472">
        <f t="shared" si="26"/>
        <v>0</v>
      </c>
      <c r="L90" s="472">
        <f t="shared" si="26"/>
        <v>0</v>
      </c>
      <c r="M90" s="472">
        <f t="shared" si="26"/>
        <v>9031198</v>
      </c>
      <c r="N90" s="472">
        <f t="shared" si="26"/>
        <v>0</v>
      </c>
      <c r="O90" s="472">
        <f t="shared" si="26"/>
        <v>0</v>
      </c>
      <c r="P90" s="472">
        <f t="shared" si="26"/>
        <v>0</v>
      </c>
      <c r="Q90" s="472">
        <f t="shared" si="26"/>
        <v>239074</v>
      </c>
      <c r="R90" s="472">
        <f t="shared" si="26"/>
        <v>5143065</v>
      </c>
      <c r="S90" s="472">
        <f t="shared" si="10"/>
        <v>14413337</v>
      </c>
      <c r="T90" s="400">
        <f t="shared" si="11"/>
        <v>0.5247247287634567</v>
      </c>
      <c r="U90" s="399">
        <f t="shared" si="25"/>
        <v>0</v>
      </c>
    </row>
    <row r="91" spans="1:21" s="483" customFormat="1" ht="34.5" customHeight="1">
      <c r="A91" s="496" t="s">
        <v>511</v>
      </c>
      <c r="B91" s="484" t="s">
        <v>512</v>
      </c>
      <c r="C91" s="505">
        <f>D91+E91</f>
        <v>17280</v>
      </c>
      <c r="D91" s="505">
        <v>280</v>
      </c>
      <c r="E91" s="505">
        <v>17000</v>
      </c>
      <c r="F91" s="505">
        <v>400</v>
      </c>
      <c r="G91" s="505">
        <v>0</v>
      </c>
      <c r="H91" s="505">
        <f>I91+R91</f>
        <v>16880</v>
      </c>
      <c r="I91" s="505">
        <f>J91+K91+L91+M91+N91+O91+P91+Q91</f>
        <v>16880</v>
      </c>
      <c r="J91" s="505">
        <v>16600</v>
      </c>
      <c r="K91" s="505">
        <v>0</v>
      </c>
      <c r="L91" s="505">
        <v>0</v>
      </c>
      <c r="M91" s="505">
        <v>280</v>
      </c>
      <c r="N91" s="505">
        <v>0</v>
      </c>
      <c r="O91" s="505">
        <v>0</v>
      </c>
      <c r="P91" s="505">
        <v>0</v>
      </c>
      <c r="Q91" s="506"/>
      <c r="R91" s="505"/>
      <c r="S91" s="480">
        <f t="shared" si="10"/>
        <v>280</v>
      </c>
      <c r="T91" s="481">
        <f t="shared" si="11"/>
        <v>98.34123222748815</v>
      </c>
      <c r="U91" s="482">
        <f t="shared" si="25"/>
        <v>0</v>
      </c>
    </row>
    <row r="92" spans="1:21" s="483" customFormat="1" ht="34.5" customHeight="1">
      <c r="A92" s="496" t="s">
        <v>513</v>
      </c>
      <c r="B92" s="484" t="s">
        <v>514</v>
      </c>
      <c r="C92" s="505">
        <f>D92+E92</f>
        <v>3692662</v>
      </c>
      <c r="D92" s="505">
        <v>3661112</v>
      </c>
      <c r="E92" s="505">
        <v>31550</v>
      </c>
      <c r="F92" s="505">
        <v>0</v>
      </c>
      <c r="G92" s="505">
        <v>0</v>
      </c>
      <c r="H92" s="505">
        <f>I92+R92</f>
        <v>3692662</v>
      </c>
      <c r="I92" s="505">
        <f>J92+K92+L92+M92+N92+O92+P92+Q92</f>
        <v>2578511</v>
      </c>
      <c r="J92" s="505">
        <v>31000</v>
      </c>
      <c r="K92" s="505">
        <v>0</v>
      </c>
      <c r="L92" s="505">
        <v>0</v>
      </c>
      <c r="M92" s="505">
        <v>2492911</v>
      </c>
      <c r="N92" s="505">
        <v>0</v>
      </c>
      <c r="O92" s="505">
        <v>0</v>
      </c>
      <c r="P92" s="505">
        <v>0</v>
      </c>
      <c r="Q92" s="506">
        <v>54600</v>
      </c>
      <c r="R92" s="505">
        <v>1114151</v>
      </c>
      <c r="S92" s="480">
        <f t="shared" si="10"/>
        <v>3661662</v>
      </c>
      <c r="T92" s="481">
        <f t="shared" si="11"/>
        <v>1.2022442409592204</v>
      </c>
      <c r="U92" s="482">
        <f t="shared" si="25"/>
        <v>0</v>
      </c>
    </row>
    <row r="93" spans="1:21" s="483" customFormat="1" ht="34.5" customHeight="1">
      <c r="A93" s="496" t="s">
        <v>622</v>
      </c>
      <c r="B93" s="484" t="s">
        <v>623</v>
      </c>
      <c r="C93" s="489">
        <f>D93+E93</f>
        <v>10752695</v>
      </c>
      <c r="D93" s="489">
        <v>5761731</v>
      </c>
      <c r="E93" s="489">
        <v>4990964</v>
      </c>
      <c r="F93" s="489"/>
      <c r="G93" s="489"/>
      <c r="H93" s="489">
        <f>I93+R93</f>
        <v>10752695</v>
      </c>
      <c r="I93" s="489">
        <f>J93+K93+L93+M93+N93+O93+P93+Q93</f>
        <v>6723781</v>
      </c>
      <c r="J93" s="489">
        <v>1300</v>
      </c>
      <c r="K93" s="489"/>
      <c r="L93" s="489"/>
      <c r="M93" s="489">
        <v>6538007</v>
      </c>
      <c r="N93" s="489"/>
      <c r="O93" s="489"/>
      <c r="P93" s="489"/>
      <c r="Q93" s="490">
        <v>184474</v>
      </c>
      <c r="R93" s="504">
        <v>4028914</v>
      </c>
      <c r="S93" s="480">
        <f t="shared" si="10"/>
        <v>10751395</v>
      </c>
      <c r="T93" s="481">
        <f t="shared" si="11"/>
        <v>0.01933435964080329</v>
      </c>
      <c r="U93" s="482"/>
    </row>
    <row r="94" spans="1:21" s="398" customFormat="1" ht="34.5" customHeight="1">
      <c r="A94" s="397">
        <v>12</v>
      </c>
      <c r="B94" s="451" t="s">
        <v>516</v>
      </c>
      <c r="C94" s="472">
        <f>SUM(C95:C97)</f>
        <v>20570572</v>
      </c>
      <c r="D94" s="472">
        <f aca="true" t="shared" si="27" ref="D94:R94">SUM(D95:D97)</f>
        <v>19340047</v>
      </c>
      <c r="E94" s="472">
        <f t="shared" si="27"/>
        <v>1230525</v>
      </c>
      <c r="F94" s="472">
        <f t="shared" si="27"/>
        <v>0</v>
      </c>
      <c r="G94" s="472">
        <f t="shared" si="27"/>
        <v>0</v>
      </c>
      <c r="H94" s="472">
        <f t="shared" si="27"/>
        <v>20570572</v>
      </c>
      <c r="I94" s="472">
        <f t="shared" si="27"/>
        <v>18042490</v>
      </c>
      <c r="J94" s="472">
        <f t="shared" si="27"/>
        <v>604561</v>
      </c>
      <c r="K94" s="472">
        <f t="shared" si="27"/>
        <v>29521</v>
      </c>
      <c r="L94" s="472">
        <f t="shared" si="27"/>
        <v>0</v>
      </c>
      <c r="M94" s="472">
        <f t="shared" si="27"/>
        <v>17408408</v>
      </c>
      <c r="N94" s="472">
        <f t="shared" si="27"/>
        <v>0</v>
      </c>
      <c r="O94" s="472">
        <f t="shared" si="27"/>
        <v>0</v>
      </c>
      <c r="P94" s="472">
        <f t="shared" si="27"/>
        <v>0</v>
      </c>
      <c r="Q94" s="472">
        <f t="shared" si="27"/>
        <v>0</v>
      </c>
      <c r="R94" s="472">
        <f t="shared" si="27"/>
        <v>2528082</v>
      </c>
      <c r="S94" s="472">
        <f t="shared" si="10"/>
        <v>19936490</v>
      </c>
      <c r="T94" s="400">
        <f t="shared" si="11"/>
        <v>3.5143818840969288</v>
      </c>
      <c r="U94" s="399">
        <f t="shared" si="25"/>
        <v>0</v>
      </c>
    </row>
    <row r="95" spans="1:21" s="483" customFormat="1" ht="34.5" customHeight="1">
      <c r="A95" s="479">
        <v>12.1</v>
      </c>
      <c r="B95" s="511" t="s">
        <v>538</v>
      </c>
      <c r="C95" s="502">
        <f>D95+E95</f>
        <v>5401332</v>
      </c>
      <c r="D95" s="502">
        <v>5158463</v>
      </c>
      <c r="E95" s="502">
        <v>242869</v>
      </c>
      <c r="F95" s="502">
        <v>0</v>
      </c>
      <c r="G95" s="502">
        <v>0</v>
      </c>
      <c r="H95" s="502">
        <f>C95-F95-G95</f>
        <v>5401332</v>
      </c>
      <c r="I95" s="502">
        <f>H95-R95</f>
        <v>5249737</v>
      </c>
      <c r="J95" s="502">
        <v>399487</v>
      </c>
      <c r="K95" s="502">
        <v>0</v>
      </c>
      <c r="L95" s="502"/>
      <c r="M95" s="502">
        <f>I95-J95-K95-N95</f>
        <v>4850250</v>
      </c>
      <c r="N95" s="502"/>
      <c r="O95" s="502"/>
      <c r="P95" s="502"/>
      <c r="Q95" s="502"/>
      <c r="R95" s="502">
        <v>151595</v>
      </c>
      <c r="S95" s="480">
        <f t="shared" si="10"/>
        <v>5001845</v>
      </c>
      <c r="T95" s="481">
        <f t="shared" si="11"/>
        <v>7.60965739807537</v>
      </c>
      <c r="U95" s="482">
        <f t="shared" si="25"/>
        <v>0</v>
      </c>
    </row>
    <row r="96" spans="1:21" s="483" customFormat="1" ht="34.5" customHeight="1">
      <c r="A96" s="479">
        <v>12.2</v>
      </c>
      <c r="B96" s="511" t="s">
        <v>574</v>
      </c>
      <c r="C96" s="502">
        <f>D96+E96</f>
        <v>12375617</v>
      </c>
      <c r="D96" s="502">
        <v>11428552</v>
      </c>
      <c r="E96" s="502">
        <v>947065</v>
      </c>
      <c r="F96" s="502">
        <v>0</v>
      </c>
      <c r="G96" s="502">
        <v>0</v>
      </c>
      <c r="H96" s="502">
        <f>C96-F96-G96</f>
        <v>12375617</v>
      </c>
      <c r="I96" s="502">
        <f>H96-R96</f>
        <v>10408079</v>
      </c>
      <c r="J96" s="502">
        <v>70405</v>
      </c>
      <c r="K96" s="502">
        <v>12586</v>
      </c>
      <c r="L96" s="502"/>
      <c r="M96" s="502">
        <f>I96-J96-K96-N96</f>
        <v>10325088</v>
      </c>
      <c r="N96" s="502">
        <v>0</v>
      </c>
      <c r="O96" s="502"/>
      <c r="P96" s="502"/>
      <c r="Q96" s="502"/>
      <c r="R96" s="502">
        <v>1967538</v>
      </c>
      <c r="S96" s="480">
        <f t="shared" si="10"/>
        <v>12292626</v>
      </c>
      <c r="T96" s="481">
        <f t="shared" si="11"/>
        <v>0.7973709653817962</v>
      </c>
      <c r="U96" s="482">
        <f t="shared" si="25"/>
        <v>0</v>
      </c>
    </row>
    <row r="97" spans="1:21" s="483" customFormat="1" ht="34.5" customHeight="1">
      <c r="A97" s="479">
        <v>12.3</v>
      </c>
      <c r="B97" s="511" t="s">
        <v>553</v>
      </c>
      <c r="C97" s="502">
        <f>D97+E97</f>
        <v>2793623</v>
      </c>
      <c r="D97" s="502">
        <v>2753032</v>
      </c>
      <c r="E97" s="502">
        <v>40591</v>
      </c>
      <c r="F97" s="502"/>
      <c r="G97" s="502"/>
      <c r="H97" s="502">
        <f>C97-F97-G97</f>
        <v>2793623</v>
      </c>
      <c r="I97" s="502">
        <f>H97-R97</f>
        <v>2384674</v>
      </c>
      <c r="J97" s="502">
        <v>134669</v>
      </c>
      <c r="K97" s="502">
        <v>16935</v>
      </c>
      <c r="L97" s="502"/>
      <c r="M97" s="502">
        <f>I97-J97-K97-N97</f>
        <v>2233070</v>
      </c>
      <c r="N97" s="502"/>
      <c r="O97" s="502"/>
      <c r="P97" s="502"/>
      <c r="Q97" s="502"/>
      <c r="R97" s="502">
        <v>408949</v>
      </c>
      <c r="S97" s="480">
        <f t="shared" si="10"/>
        <v>2642019</v>
      </c>
      <c r="T97" s="481">
        <f t="shared" si="11"/>
        <v>6.357430827022897</v>
      </c>
      <c r="U97" s="482">
        <f t="shared" si="25"/>
        <v>0</v>
      </c>
    </row>
    <row r="98" spans="1:21" s="398" customFormat="1" ht="34.5" customHeight="1">
      <c r="A98" s="397">
        <v>13</v>
      </c>
      <c r="B98" s="451" t="s">
        <v>518</v>
      </c>
      <c r="C98" s="472">
        <f>SUM(C99:C111)</f>
        <v>551988767</v>
      </c>
      <c r="D98" s="472">
        <f aca="true" t="shared" si="28" ref="D98:R98">SUM(D99:D111)</f>
        <v>490843881</v>
      </c>
      <c r="E98" s="472">
        <f t="shared" si="28"/>
        <v>61144886</v>
      </c>
      <c r="F98" s="472">
        <f t="shared" si="28"/>
        <v>375637</v>
      </c>
      <c r="G98" s="472">
        <f t="shared" si="28"/>
        <v>0</v>
      </c>
      <c r="H98" s="472">
        <f t="shared" si="28"/>
        <v>551613130</v>
      </c>
      <c r="I98" s="472">
        <f t="shared" si="28"/>
        <v>403890700</v>
      </c>
      <c r="J98" s="472">
        <f t="shared" si="28"/>
        <v>16706422</v>
      </c>
      <c r="K98" s="472">
        <f t="shared" si="28"/>
        <v>4017268</v>
      </c>
      <c r="L98" s="472">
        <f t="shared" si="28"/>
        <v>0</v>
      </c>
      <c r="M98" s="472">
        <f t="shared" si="28"/>
        <v>383167010</v>
      </c>
      <c r="N98" s="472">
        <f t="shared" si="28"/>
        <v>0</v>
      </c>
      <c r="O98" s="472">
        <f t="shared" si="28"/>
        <v>0</v>
      </c>
      <c r="P98" s="472">
        <f t="shared" si="28"/>
        <v>0</v>
      </c>
      <c r="Q98" s="472">
        <f t="shared" si="28"/>
        <v>0</v>
      </c>
      <c r="R98" s="472">
        <f t="shared" si="28"/>
        <v>147722430</v>
      </c>
      <c r="S98" s="472">
        <f t="shared" si="10"/>
        <v>530889440</v>
      </c>
      <c r="T98" s="400">
        <f t="shared" si="11"/>
        <v>5.131014405630038</v>
      </c>
      <c r="U98" s="399">
        <f t="shared" si="25"/>
        <v>0</v>
      </c>
    </row>
    <row r="99" spans="1:21" s="483" customFormat="1" ht="34.5" customHeight="1">
      <c r="A99" s="479">
        <v>13.1</v>
      </c>
      <c r="B99" s="512" t="s">
        <v>599</v>
      </c>
      <c r="C99" s="492">
        <f>D99+E99</f>
        <v>57802213</v>
      </c>
      <c r="D99" s="492">
        <v>56466023</v>
      </c>
      <c r="E99" s="492">
        <v>1336190</v>
      </c>
      <c r="F99" s="492">
        <v>0</v>
      </c>
      <c r="G99" s="492">
        <v>0</v>
      </c>
      <c r="H99" s="492">
        <f>I99+R99</f>
        <v>57802213</v>
      </c>
      <c r="I99" s="492">
        <f>J99+K99+L99+M99+N99+O99+P99+Q99</f>
        <v>5138329</v>
      </c>
      <c r="J99" s="492">
        <v>956368</v>
      </c>
      <c r="K99" s="492">
        <v>3000</v>
      </c>
      <c r="L99" s="492">
        <v>0</v>
      </c>
      <c r="M99" s="492">
        <v>4178961</v>
      </c>
      <c r="N99" s="492">
        <v>0</v>
      </c>
      <c r="O99" s="492">
        <v>0</v>
      </c>
      <c r="P99" s="492">
        <v>0</v>
      </c>
      <c r="Q99" s="492">
        <v>0</v>
      </c>
      <c r="R99" s="493">
        <v>52663884</v>
      </c>
      <c r="S99" s="480">
        <f t="shared" si="10"/>
        <v>56842845</v>
      </c>
      <c r="T99" s="481">
        <f t="shared" si="11"/>
        <v>18.670816913436255</v>
      </c>
      <c r="U99" s="482">
        <f t="shared" si="25"/>
        <v>0</v>
      </c>
    </row>
    <row r="100" spans="1:21" s="483" customFormat="1" ht="34.5" customHeight="1">
      <c r="A100" s="479">
        <v>13.2</v>
      </c>
      <c r="B100" s="512" t="s">
        <v>600</v>
      </c>
      <c r="C100" s="492">
        <f aca="true" t="shared" si="29" ref="C100:C111">D100+E100</f>
        <v>51800980</v>
      </c>
      <c r="D100" s="492">
        <v>29682305</v>
      </c>
      <c r="E100" s="492">
        <v>22118675</v>
      </c>
      <c r="F100" s="492">
        <v>375637</v>
      </c>
      <c r="G100" s="492">
        <v>0</v>
      </c>
      <c r="H100" s="492">
        <f aca="true" t="shared" si="30" ref="H100:H111">I100+R100</f>
        <v>51425343</v>
      </c>
      <c r="I100" s="492">
        <f aca="true" t="shared" si="31" ref="I100:I111">J100+K100+L100+M100+N100+O100+P100+Q100</f>
        <v>47950096</v>
      </c>
      <c r="J100" s="492">
        <v>68410</v>
      </c>
      <c r="K100" s="492"/>
      <c r="L100" s="492">
        <v>0</v>
      </c>
      <c r="M100" s="492">
        <v>47881686</v>
      </c>
      <c r="N100" s="492">
        <v>0</v>
      </c>
      <c r="O100" s="492">
        <v>0</v>
      </c>
      <c r="P100" s="492">
        <v>0</v>
      </c>
      <c r="Q100" s="492">
        <v>0</v>
      </c>
      <c r="R100" s="493">
        <v>3475247</v>
      </c>
      <c r="S100" s="480">
        <f t="shared" si="10"/>
        <v>51356933</v>
      </c>
      <c r="T100" s="481">
        <f t="shared" si="11"/>
        <v>0.14266916170511942</v>
      </c>
      <c r="U100" s="482">
        <f t="shared" si="25"/>
        <v>0</v>
      </c>
    </row>
    <row r="101" spans="1:21" s="483" customFormat="1" ht="34.5" customHeight="1">
      <c r="A101" s="479">
        <v>13.3</v>
      </c>
      <c r="B101" s="512" t="s">
        <v>601</v>
      </c>
      <c r="C101" s="492">
        <f t="shared" si="29"/>
        <v>120240235</v>
      </c>
      <c r="D101" s="492">
        <f>109153725+428672</f>
        <v>109582397</v>
      </c>
      <c r="E101" s="492">
        <v>10657838</v>
      </c>
      <c r="F101" s="492"/>
      <c r="G101" s="492">
        <v>0</v>
      </c>
      <c r="H101" s="492">
        <f t="shared" si="30"/>
        <v>120240235</v>
      </c>
      <c r="I101" s="492">
        <f t="shared" si="31"/>
        <v>90698730</v>
      </c>
      <c r="J101" s="492">
        <v>5290089</v>
      </c>
      <c r="K101" s="492">
        <v>3000</v>
      </c>
      <c r="L101" s="492">
        <v>0</v>
      </c>
      <c r="M101" s="492">
        <f>84976969+428672</f>
        <v>85405641</v>
      </c>
      <c r="N101" s="492">
        <v>0</v>
      </c>
      <c r="O101" s="492"/>
      <c r="P101" s="492"/>
      <c r="Q101" s="492">
        <v>0</v>
      </c>
      <c r="R101" s="493">
        <v>29541505</v>
      </c>
      <c r="S101" s="480">
        <f t="shared" si="10"/>
        <v>114947146</v>
      </c>
      <c r="T101" s="481">
        <f t="shared" si="11"/>
        <v>5.835902002155929</v>
      </c>
      <c r="U101" s="482">
        <f t="shared" si="25"/>
        <v>0</v>
      </c>
    </row>
    <row r="102" spans="1:21" s="483" customFormat="1" ht="34.5" customHeight="1">
      <c r="A102" s="479">
        <v>13.4</v>
      </c>
      <c r="B102" s="513" t="s">
        <v>602</v>
      </c>
      <c r="C102" s="492">
        <f>D102+E102</f>
        <v>60247230</v>
      </c>
      <c r="D102" s="492">
        <v>57861183</v>
      </c>
      <c r="E102" s="492">
        <v>2386047</v>
      </c>
      <c r="F102" s="492">
        <v>0</v>
      </c>
      <c r="G102" s="492">
        <v>0</v>
      </c>
      <c r="H102" s="492">
        <f t="shared" si="30"/>
        <v>60247230</v>
      </c>
      <c r="I102" s="492">
        <f t="shared" si="31"/>
        <v>54846517</v>
      </c>
      <c r="J102" s="492">
        <v>3132827</v>
      </c>
      <c r="K102" s="492">
        <v>10000</v>
      </c>
      <c r="L102" s="492">
        <v>0</v>
      </c>
      <c r="M102" s="492">
        <v>51703690</v>
      </c>
      <c r="N102" s="492">
        <v>0</v>
      </c>
      <c r="O102" s="492">
        <v>0</v>
      </c>
      <c r="P102" s="492">
        <v>0</v>
      </c>
      <c r="Q102" s="492">
        <v>0</v>
      </c>
      <c r="R102" s="493">
        <v>5400713</v>
      </c>
      <c r="S102" s="480">
        <f aca="true" t="shared" si="32" ref="S102:S121">M102+N102+O102+P102+Q102+R102</f>
        <v>57104403</v>
      </c>
      <c r="T102" s="481">
        <f aca="true" t="shared" si="33" ref="T102:T121">(J102+K102+L102)/I102*100</f>
        <v>5.730221665671131</v>
      </c>
      <c r="U102" s="482">
        <f t="shared" si="25"/>
        <v>0</v>
      </c>
    </row>
    <row r="103" spans="1:21" s="483" customFormat="1" ht="34.5" customHeight="1">
      <c r="A103" s="479">
        <v>13.5</v>
      </c>
      <c r="B103" s="514" t="s">
        <v>603</v>
      </c>
      <c r="C103" s="492">
        <f t="shared" si="29"/>
        <v>37319459</v>
      </c>
      <c r="D103" s="492">
        <v>37292491</v>
      </c>
      <c r="E103" s="492">
        <v>26968</v>
      </c>
      <c r="F103" s="492"/>
      <c r="G103" s="492"/>
      <c r="H103" s="492">
        <f t="shared" si="30"/>
        <v>37319459</v>
      </c>
      <c r="I103" s="492">
        <f>J103+K103+L103+M103+N103+O103+P103+Q103</f>
        <v>36400830</v>
      </c>
      <c r="J103" s="492">
        <v>80586</v>
      </c>
      <c r="K103" s="492">
        <v>4950</v>
      </c>
      <c r="L103" s="492">
        <v>0</v>
      </c>
      <c r="M103" s="492">
        <v>36315294</v>
      </c>
      <c r="N103" s="492">
        <v>0</v>
      </c>
      <c r="O103" s="492"/>
      <c r="P103" s="492">
        <v>0</v>
      </c>
      <c r="Q103" s="492">
        <v>0</v>
      </c>
      <c r="R103" s="493">
        <v>918629</v>
      </c>
      <c r="S103" s="480">
        <f t="shared" si="32"/>
        <v>37233923</v>
      </c>
      <c r="T103" s="481">
        <f t="shared" si="33"/>
        <v>0.2349836528452785</v>
      </c>
      <c r="U103" s="482">
        <f t="shared" si="25"/>
        <v>0</v>
      </c>
    </row>
    <row r="104" spans="1:21" s="483" customFormat="1" ht="34.5" customHeight="1">
      <c r="A104" s="479">
        <v>13.6</v>
      </c>
      <c r="B104" s="514" t="s">
        <v>604</v>
      </c>
      <c r="C104" s="492">
        <f t="shared" si="29"/>
        <v>44983490</v>
      </c>
      <c r="D104" s="492">
        <v>43577748</v>
      </c>
      <c r="E104" s="492">
        <v>1405742</v>
      </c>
      <c r="F104" s="492">
        <v>0</v>
      </c>
      <c r="G104" s="492">
        <v>0</v>
      </c>
      <c r="H104" s="492">
        <f t="shared" si="30"/>
        <v>44983490</v>
      </c>
      <c r="I104" s="492">
        <f t="shared" si="31"/>
        <v>36652161</v>
      </c>
      <c r="J104" s="492">
        <v>2415619</v>
      </c>
      <c r="K104" s="492">
        <v>1308905</v>
      </c>
      <c r="L104" s="492"/>
      <c r="M104" s="492">
        <v>32927637</v>
      </c>
      <c r="N104" s="492">
        <v>0</v>
      </c>
      <c r="O104" s="492"/>
      <c r="P104" s="492">
        <v>0</v>
      </c>
      <c r="Q104" s="492">
        <v>0</v>
      </c>
      <c r="R104" s="493">
        <v>8331329</v>
      </c>
      <c r="S104" s="480">
        <f t="shared" si="32"/>
        <v>41258966</v>
      </c>
      <c r="T104" s="481">
        <f t="shared" si="33"/>
        <v>10.161812832809504</v>
      </c>
      <c r="U104" s="482">
        <f t="shared" si="25"/>
        <v>0</v>
      </c>
    </row>
    <row r="105" spans="1:21" s="483" customFormat="1" ht="34.5" customHeight="1">
      <c r="A105" s="479">
        <v>13.7</v>
      </c>
      <c r="B105" s="514" t="s">
        <v>577</v>
      </c>
      <c r="C105" s="492">
        <f t="shared" si="29"/>
        <v>29434916</v>
      </c>
      <c r="D105" s="492">
        <v>19903005</v>
      </c>
      <c r="E105" s="492">
        <v>9531911</v>
      </c>
      <c r="F105" s="492">
        <v>0</v>
      </c>
      <c r="G105" s="492">
        <v>0</v>
      </c>
      <c r="H105" s="492">
        <f t="shared" si="30"/>
        <v>29434916</v>
      </c>
      <c r="I105" s="492">
        <f t="shared" si="31"/>
        <v>27086490</v>
      </c>
      <c r="J105" s="492">
        <v>1397121</v>
      </c>
      <c r="K105" s="492">
        <v>1248274</v>
      </c>
      <c r="L105" s="492">
        <v>0</v>
      </c>
      <c r="M105" s="492">
        <v>24441095</v>
      </c>
      <c r="N105" s="492">
        <v>0</v>
      </c>
      <c r="O105" s="492">
        <v>0</v>
      </c>
      <c r="P105" s="492">
        <v>0</v>
      </c>
      <c r="Q105" s="492">
        <v>0</v>
      </c>
      <c r="R105" s="493">
        <v>2348426</v>
      </c>
      <c r="S105" s="480">
        <f t="shared" si="32"/>
        <v>26789521</v>
      </c>
      <c r="T105" s="481">
        <f t="shared" si="33"/>
        <v>9.766473987585693</v>
      </c>
      <c r="U105" s="482">
        <f t="shared" si="25"/>
        <v>0</v>
      </c>
    </row>
    <row r="106" spans="1:21" s="483" customFormat="1" ht="34.5" customHeight="1">
      <c r="A106" s="479">
        <v>13.8</v>
      </c>
      <c r="B106" s="512" t="s">
        <v>605</v>
      </c>
      <c r="C106" s="492">
        <f t="shared" si="29"/>
        <v>17167453</v>
      </c>
      <c r="D106" s="492">
        <v>14119271</v>
      </c>
      <c r="E106" s="492">
        <v>3048182</v>
      </c>
      <c r="F106" s="492"/>
      <c r="G106" s="492">
        <v>0</v>
      </c>
      <c r="H106" s="492">
        <f t="shared" si="30"/>
        <v>17167453</v>
      </c>
      <c r="I106" s="492">
        <f t="shared" si="31"/>
        <v>13742722</v>
      </c>
      <c r="J106" s="492">
        <v>64111</v>
      </c>
      <c r="K106" s="492">
        <v>2640</v>
      </c>
      <c r="L106" s="492">
        <v>0</v>
      </c>
      <c r="M106" s="492">
        <v>13675971</v>
      </c>
      <c r="N106" s="492">
        <v>0</v>
      </c>
      <c r="O106" s="492">
        <v>0</v>
      </c>
      <c r="P106" s="492">
        <v>0</v>
      </c>
      <c r="Q106" s="492">
        <v>0</v>
      </c>
      <c r="R106" s="493">
        <v>3424731</v>
      </c>
      <c r="S106" s="480">
        <f t="shared" si="32"/>
        <v>17100702</v>
      </c>
      <c r="T106" s="481">
        <f t="shared" si="33"/>
        <v>0.48571891361842295</v>
      </c>
      <c r="U106" s="482">
        <f t="shared" si="25"/>
        <v>0</v>
      </c>
    </row>
    <row r="107" spans="1:21" s="483" customFormat="1" ht="34.5" customHeight="1">
      <c r="A107" s="479">
        <v>13.9</v>
      </c>
      <c r="B107" s="515" t="s">
        <v>606</v>
      </c>
      <c r="C107" s="492">
        <f t="shared" si="29"/>
        <v>57438443</v>
      </c>
      <c r="D107" s="492">
        <v>55697204</v>
      </c>
      <c r="E107" s="492">
        <v>1741239</v>
      </c>
      <c r="F107" s="492">
        <v>0</v>
      </c>
      <c r="G107" s="492">
        <v>0</v>
      </c>
      <c r="H107" s="492">
        <f>I107+R107</f>
        <v>57438443</v>
      </c>
      <c r="I107" s="492">
        <f t="shared" si="31"/>
        <v>37833163</v>
      </c>
      <c r="J107" s="492">
        <v>2835936</v>
      </c>
      <c r="K107" s="492">
        <v>1436499</v>
      </c>
      <c r="L107" s="492">
        <v>0</v>
      </c>
      <c r="M107" s="492">
        <v>33560728</v>
      </c>
      <c r="N107" s="492">
        <v>0</v>
      </c>
      <c r="O107" s="492">
        <v>0</v>
      </c>
      <c r="P107" s="492">
        <v>0</v>
      </c>
      <c r="Q107" s="492">
        <v>0</v>
      </c>
      <c r="R107" s="493">
        <v>19605280</v>
      </c>
      <c r="S107" s="480">
        <f t="shared" si="32"/>
        <v>53166008</v>
      </c>
      <c r="T107" s="481">
        <f t="shared" si="33"/>
        <v>11.292830578294497</v>
      </c>
      <c r="U107" s="482">
        <f t="shared" si="25"/>
        <v>0</v>
      </c>
    </row>
    <row r="108" spans="1:21" s="483" customFormat="1" ht="34.5" customHeight="1">
      <c r="A108" s="479" t="s">
        <v>554</v>
      </c>
      <c r="B108" s="512" t="s">
        <v>462</v>
      </c>
      <c r="C108" s="492">
        <f t="shared" si="29"/>
        <v>31799155</v>
      </c>
      <c r="D108" s="492">
        <v>30115131</v>
      </c>
      <c r="E108" s="492">
        <v>1684024</v>
      </c>
      <c r="F108" s="492">
        <v>0</v>
      </c>
      <c r="G108" s="492">
        <v>0</v>
      </c>
      <c r="H108" s="492">
        <f t="shared" si="30"/>
        <v>31799155</v>
      </c>
      <c r="I108" s="492">
        <f t="shared" si="31"/>
        <v>18364606</v>
      </c>
      <c r="J108" s="492">
        <v>56644</v>
      </c>
      <c r="K108" s="492"/>
      <c r="L108" s="492">
        <v>0</v>
      </c>
      <c r="M108" s="492">
        <v>18307962</v>
      </c>
      <c r="N108" s="492">
        <v>0</v>
      </c>
      <c r="O108" s="492">
        <v>0</v>
      </c>
      <c r="P108" s="492">
        <v>0</v>
      </c>
      <c r="Q108" s="492">
        <v>0</v>
      </c>
      <c r="R108" s="493">
        <v>13434549</v>
      </c>
      <c r="S108" s="480">
        <f t="shared" si="32"/>
        <v>31742511</v>
      </c>
      <c r="T108" s="481">
        <f t="shared" si="33"/>
        <v>0.3084411394396373</v>
      </c>
      <c r="U108" s="482">
        <f t="shared" si="25"/>
        <v>0</v>
      </c>
    </row>
    <row r="109" spans="1:21" s="483" customFormat="1" ht="34.5" customHeight="1">
      <c r="A109" s="479" t="s">
        <v>554</v>
      </c>
      <c r="B109" s="512" t="s">
        <v>607</v>
      </c>
      <c r="C109" s="492">
        <f t="shared" si="29"/>
        <v>4688085</v>
      </c>
      <c r="D109" s="492">
        <v>3941815</v>
      </c>
      <c r="E109" s="492">
        <v>746270</v>
      </c>
      <c r="F109" s="492">
        <v>0</v>
      </c>
      <c r="G109" s="492">
        <v>0</v>
      </c>
      <c r="H109" s="492">
        <f t="shared" si="30"/>
        <v>4688085</v>
      </c>
      <c r="I109" s="492">
        <f t="shared" si="31"/>
        <v>3595211</v>
      </c>
      <c r="J109" s="492">
        <v>387261</v>
      </c>
      <c r="K109" s="492">
        <v>0</v>
      </c>
      <c r="L109" s="492">
        <v>0</v>
      </c>
      <c r="M109" s="492">
        <v>3207950</v>
      </c>
      <c r="N109" s="492">
        <v>0</v>
      </c>
      <c r="O109" s="492">
        <v>0</v>
      </c>
      <c r="P109" s="492">
        <v>0</v>
      </c>
      <c r="Q109" s="492">
        <v>0</v>
      </c>
      <c r="R109" s="493">
        <v>1092874</v>
      </c>
      <c r="S109" s="480">
        <f>M109+N109+O109+P109+Q109+R109</f>
        <v>4300824</v>
      </c>
      <c r="T109" s="481">
        <f>(J109+K109+L109)/I109*100</f>
        <v>10.771579192431265</v>
      </c>
      <c r="U109" s="482"/>
    </row>
    <row r="110" spans="1:21" s="483" customFormat="1" ht="34.5" customHeight="1">
      <c r="A110" s="479" t="s">
        <v>611</v>
      </c>
      <c r="B110" s="512" t="s">
        <v>608</v>
      </c>
      <c r="C110" s="492">
        <f t="shared" si="29"/>
        <v>8085270</v>
      </c>
      <c r="D110" s="492">
        <v>3803371</v>
      </c>
      <c r="E110" s="492">
        <v>4281899</v>
      </c>
      <c r="F110" s="492">
        <v>0</v>
      </c>
      <c r="G110" s="492">
        <v>0</v>
      </c>
      <c r="H110" s="492">
        <f t="shared" si="30"/>
        <v>8085270</v>
      </c>
      <c r="I110" s="492">
        <f t="shared" si="31"/>
        <v>6367119</v>
      </c>
      <c r="J110" s="492">
        <v>1400</v>
      </c>
      <c r="K110" s="492">
        <v>0</v>
      </c>
      <c r="L110" s="492">
        <v>0</v>
      </c>
      <c r="M110" s="492">
        <v>6365719</v>
      </c>
      <c r="N110" s="492">
        <v>0</v>
      </c>
      <c r="O110" s="492">
        <v>0</v>
      </c>
      <c r="P110" s="492">
        <v>0</v>
      </c>
      <c r="Q110" s="492">
        <v>0</v>
      </c>
      <c r="R110" s="493">
        <v>1718151</v>
      </c>
      <c r="S110" s="480">
        <f>M110+N110+O110+P110+Q110+R110</f>
        <v>8083870</v>
      </c>
      <c r="T110" s="481">
        <f>(J110+K110+L110)/I110*100</f>
        <v>0.02198796661409972</v>
      </c>
      <c r="U110" s="482"/>
    </row>
    <row r="111" spans="1:21" s="483" customFormat="1" ht="34.5" customHeight="1">
      <c r="A111" s="479" t="s">
        <v>612</v>
      </c>
      <c r="B111" s="512" t="s">
        <v>609</v>
      </c>
      <c r="C111" s="492">
        <f t="shared" si="29"/>
        <v>30981838</v>
      </c>
      <c r="D111" s="492">
        <v>28801937</v>
      </c>
      <c r="E111" s="492">
        <v>2179901</v>
      </c>
      <c r="F111" s="492">
        <v>0</v>
      </c>
      <c r="G111" s="492">
        <v>0</v>
      </c>
      <c r="H111" s="492">
        <f t="shared" si="30"/>
        <v>30981838</v>
      </c>
      <c r="I111" s="492">
        <f t="shared" si="31"/>
        <v>25214726</v>
      </c>
      <c r="J111" s="492">
        <v>20050</v>
      </c>
      <c r="K111" s="492">
        <v>0</v>
      </c>
      <c r="L111" s="492">
        <v>0</v>
      </c>
      <c r="M111" s="492">
        <v>25194676</v>
      </c>
      <c r="N111" s="492">
        <v>0</v>
      </c>
      <c r="O111" s="492">
        <v>0</v>
      </c>
      <c r="P111" s="492">
        <v>0</v>
      </c>
      <c r="Q111" s="492">
        <v>0</v>
      </c>
      <c r="R111" s="493">
        <v>5767112</v>
      </c>
      <c r="S111" s="480">
        <f>M111+N111+O111+P111+Q111+R111</f>
        <v>30961788</v>
      </c>
      <c r="T111" s="481">
        <f>(J111+K111+L111)/I111*100</f>
        <v>0.079517025090814</v>
      </c>
      <c r="U111" s="482"/>
    </row>
    <row r="112" spans="1:21" s="398" customFormat="1" ht="34.5" customHeight="1">
      <c r="A112" s="397">
        <v>14</v>
      </c>
      <c r="B112" s="451" t="s">
        <v>519</v>
      </c>
      <c r="C112" s="472">
        <f>SUM(C113:C116)</f>
        <v>19811006</v>
      </c>
      <c r="D112" s="472">
        <f aca="true" t="shared" si="34" ref="D112:R112">SUM(D113:D116)</f>
        <v>14654948</v>
      </c>
      <c r="E112" s="472">
        <f t="shared" si="34"/>
        <v>5156058</v>
      </c>
      <c r="F112" s="472">
        <f t="shared" si="34"/>
        <v>15600</v>
      </c>
      <c r="G112" s="472">
        <f t="shared" si="34"/>
        <v>0</v>
      </c>
      <c r="H112" s="472">
        <f t="shared" si="34"/>
        <v>19795406</v>
      </c>
      <c r="I112" s="472">
        <f t="shared" si="34"/>
        <v>12865010</v>
      </c>
      <c r="J112" s="472">
        <f t="shared" si="34"/>
        <v>849355</v>
      </c>
      <c r="K112" s="472">
        <f t="shared" si="34"/>
        <v>834000</v>
      </c>
      <c r="L112" s="472">
        <f t="shared" si="34"/>
        <v>0</v>
      </c>
      <c r="M112" s="472">
        <f t="shared" si="34"/>
        <v>11181655</v>
      </c>
      <c r="N112" s="472">
        <f t="shared" si="34"/>
        <v>0</v>
      </c>
      <c r="O112" s="472">
        <f t="shared" si="34"/>
        <v>0</v>
      </c>
      <c r="P112" s="472">
        <f t="shared" si="34"/>
        <v>0</v>
      </c>
      <c r="Q112" s="472">
        <f t="shared" si="34"/>
        <v>0</v>
      </c>
      <c r="R112" s="472">
        <f t="shared" si="34"/>
        <v>6930396</v>
      </c>
      <c r="S112" s="472">
        <f t="shared" si="32"/>
        <v>18112051</v>
      </c>
      <c r="T112" s="400">
        <f t="shared" si="33"/>
        <v>13.084754695099344</v>
      </c>
      <c r="U112" s="399">
        <f t="shared" si="25"/>
        <v>0</v>
      </c>
    </row>
    <row r="113" spans="1:21" s="483" customFormat="1" ht="34.5" customHeight="1">
      <c r="A113" s="516" t="s">
        <v>520</v>
      </c>
      <c r="B113" s="517" t="s">
        <v>521</v>
      </c>
      <c r="C113" s="489">
        <f>D113+E113</f>
        <v>7173771</v>
      </c>
      <c r="D113" s="518">
        <v>5955348</v>
      </c>
      <c r="E113" s="518">
        <v>1218423</v>
      </c>
      <c r="F113" s="518">
        <v>15600</v>
      </c>
      <c r="G113" s="518">
        <v>0</v>
      </c>
      <c r="H113" s="518">
        <f>I113+R113</f>
        <v>7158171</v>
      </c>
      <c r="I113" s="518">
        <f>SUM(J113,K113,L113,M113,N113,O113,P113,Q113)</f>
        <v>1622035</v>
      </c>
      <c r="J113" s="518">
        <v>55484</v>
      </c>
      <c r="K113" s="518">
        <v>10000</v>
      </c>
      <c r="L113" s="518">
        <v>0</v>
      </c>
      <c r="M113" s="518">
        <v>1556551</v>
      </c>
      <c r="N113" s="518">
        <v>0</v>
      </c>
      <c r="O113" s="519">
        <v>0</v>
      </c>
      <c r="P113" s="519">
        <v>0</v>
      </c>
      <c r="Q113" s="519">
        <v>0</v>
      </c>
      <c r="R113" s="504">
        <v>5536136</v>
      </c>
      <c r="S113" s="504">
        <f>M113+N113+O113+P113+Q113+R113</f>
        <v>7092687</v>
      </c>
      <c r="T113" s="481">
        <f t="shared" si="33"/>
        <v>4.037150862959184</v>
      </c>
      <c r="U113" s="482">
        <f t="shared" si="25"/>
        <v>0</v>
      </c>
    </row>
    <row r="114" spans="1:21" s="483" customFormat="1" ht="34.5" customHeight="1">
      <c r="A114" s="516" t="s">
        <v>522</v>
      </c>
      <c r="B114" s="517" t="s">
        <v>523</v>
      </c>
      <c r="C114" s="489">
        <f>D114+E114</f>
        <v>8512755</v>
      </c>
      <c r="D114" s="489">
        <v>5851828</v>
      </c>
      <c r="E114" s="489">
        <v>2660927</v>
      </c>
      <c r="F114" s="489">
        <v>0</v>
      </c>
      <c r="G114" s="489">
        <v>0</v>
      </c>
      <c r="H114" s="489">
        <f>SUM(I114,R114)</f>
        <v>8512755</v>
      </c>
      <c r="I114" s="489">
        <f>SUM(J114,K114,L114,M114,N114,O114,P114,Q114)</f>
        <v>7680123</v>
      </c>
      <c r="J114" s="489">
        <v>254170</v>
      </c>
      <c r="K114" s="489">
        <v>824000</v>
      </c>
      <c r="L114" s="489">
        <v>0</v>
      </c>
      <c r="M114" s="489">
        <v>6601953</v>
      </c>
      <c r="N114" s="489">
        <v>0</v>
      </c>
      <c r="O114" s="490">
        <v>0</v>
      </c>
      <c r="P114" s="490">
        <v>0</v>
      </c>
      <c r="Q114" s="490">
        <v>0</v>
      </c>
      <c r="R114" s="504">
        <v>832632</v>
      </c>
      <c r="S114" s="504">
        <f>M114+N114+O114+P114+Q114+R114</f>
        <v>7434585</v>
      </c>
      <c r="T114" s="481">
        <f t="shared" si="33"/>
        <v>14.038447040496619</v>
      </c>
      <c r="U114" s="482">
        <f t="shared" si="25"/>
        <v>0</v>
      </c>
    </row>
    <row r="115" spans="1:21" s="483" customFormat="1" ht="34.5" customHeight="1">
      <c r="A115" s="516" t="s">
        <v>585</v>
      </c>
      <c r="B115" s="517" t="s">
        <v>583</v>
      </c>
      <c r="C115" s="489">
        <f>D115+E115</f>
        <v>1253146</v>
      </c>
      <c r="D115" s="489">
        <v>620099</v>
      </c>
      <c r="E115" s="489">
        <v>633047</v>
      </c>
      <c r="F115" s="489">
        <v>0</v>
      </c>
      <c r="G115" s="489">
        <v>0</v>
      </c>
      <c r="H115" s="489">
        <f>SUM(I115,R115)</f>
        <v>1253146</v>
      </c>
      <c r="I115" s="489">
        <f>SUM(J115,K115,L115,M115,N115,O115,P115,Q115)</f>
        <v>1101592</v>
      </c>
      <c r="J115" s="489">
        <v>12685</v>
      </c>
      <c r="K115" s="489">
        <v>0</v>
      </c>
      <c r="L115" s="489">
        <v>0</v>
      </c>
      <c r="M115" s="489">
        <v>1088907</v>
      </c>
      <c r="N115" s="489">
        <v>0</v>
      </c>
      <c r="O115" s="490">
        <v>0</v>
      </c>
      <c r="P115" s="490">
        <v>0</v>
      </c>
      <c r="Q115" s="490">
        <v>0</v>
      </c>
      <c r="R115" s="504">
        <v>151554</v>
      </c>
      <c r="S115" s="504">
        <f>M115+N115+O115+P115+Q115+R115</f>
        <v>1240461</v>
      </c>
      <c r="T115" s="481">
        <f t="shared" si="33"/>
        <v>1.1515152615487403</v>
      </c>
      <c r="U115" s="482"/>
    </row>
    <row r="116" spans="1:21" s="483" customFormat="1" ht="34.5" customHeight="1">
      <c r="A116" s="516" t="s">
        <v>586</v>
      </c>
      <c r="B116" s="517" t="s">
        <v>584</v>
      </c>
      <c r="C116" s="489">
        <f>D116+E116</f>
        <v>2871334</v>
      </c>
      <c r="D116" s="489">
        <v>2227673</v>
      </c>
      <c r="E116" s="489">
        <v>643661</v>
      </c>
      <c r="F116" s="489">
        <v>0</v>
      </c>
      <c r="G116" s="489">
        <v>0</v>
      </c>
      <c r="H116" s="489">
        <f>SUM(I116,R116)</f>
        <v>2871334</v>
      </c>
      <c r="I116" s="489">
        <f>SUM(J116,K116,L116,M116,N116,O116,P116,Q116)</f>
        <v>2461260</v>
      </c>
      <c r="J116" s="489">
        <v>527016</v>
      </c>
      <c r="K116" s="489">
        <v>0</v>
      </c>
      <c r="L116" s="489">
        <v>0</v>
      </c>
      <c r="M116" s="489">
        <v>1934244</v>
      </c>
      <c r="N116" s="489">
        <v>0</v>
      </c>
      <c r="O116" s="490">
        <v>0</v>
      </c>
      <c r="P116" s="490">
        <v>0</v>
      </c>
      <c r="Q116" s="490">
        <v>0</v>
      </c>
      <c r="R116" s="504">
        <v>410074</v>
      </c>
      <c r="S116" s="504">
        <f>M116+N116+O116+P116+Q116+R116</f>
        <v>2344318</v>
      </c>
      <c r="T116" s="481">
        <f t="shared" si="33"/>
        <v>21.4124472830989</v>
      </c>
      <c r="U116" s="482"/>
    </row>
    <row r="117" spans="1:21" s="398" customFormat="1" ht="34.5" customHeight="1">
      <c r="A117" s="397">
        <v>15</v>
      </c>
      <c r="B117" s="451" t="s">
        <v>524</v>
      </c>
      <c r="C117" s="472">
        <f>SUM(C118:C121)</f>
        <v>50200589</v>
      </c>
      <c r="D117" s="472">
        <f aca="true" t="shared" si="35" ref="D117:R117">SUM(D118:D121)</f>
        <v>41245744</v>
      </c>
      <c r="E117" s="472">
        <f t="shared" si="35"/>
        <v>8954845</v>
      </c>
      <c r="F117" s="472">
        <f t="shared" si="35"/>
        <v>800</v>
      </c>
      <c r="G117" s="472">
        <f t="shared" si="35"/>
        <v>0</v>
      </c>
      <c r="H117" s="472">
        <f t="shared" si="35"/>
        <v>50199789</v>
      </c>
      <c r="I117" s="472">
        <f t="shared" si="35"/>
        <v>28955511</v>
      </c>
      <c r="J117" s="472">
        <f t="shared" si="35"/>
        <v>1974430</v>
      </c>
      <c r="K117" s="472">
        <f t="shared" si="35"/>
        <v>460131</v>
      </c>
      <c r="L117" s="472">
        <f t="shared" si="35"/>
        <v>0</v>
      </c>
      <c r="M117" s="472">
        <f t="shared" si="35"/>
        <v>26520950</v>
      </c>
      <c r="N117" s="472">
        <f t="shared" si="35"/>
        <v>0</v>
      </c>
      <c r="O117" s="472">
        <f t="shared" si="35"/>
        <v>0</v>
      </c>
      <c r="P117" s="472">
        <f t="shared" si="35"/>
        <v>0</v>
      </c>
      <c r="Q117" s="472">
        <f t="shared" si="35"/>
        <v>0</v>
      </c>
      <c r="R117" s="472">
        <f t="shared" si="35"/>
        <v>21244278</v>
      </c>
      <c r="S117" s="472">
        <f t="shared" si="32"/>
        <v>47765228</v>
      </c>
      <c r="T117" s="400">
        <f t="shared" si="33"/>
        <v>8.407936575527884</v>
      </c>
      <c r="U117" s="399">
        <f>C117-F117-H117</f>
        <v>0</v>
      </c>
    </row>
    <row r="118" spans="1:21" s="483" customFormat="1" ht="34.5" customHeight="1">
      <c r="A118" s="479">
        <v>15.1</v>
      </c>
      <c r="B118" s="520" t="s">
        <v>525</v>
      </c>
      <c r="C118" s="489">
        <f>D118+E118</f>
        <v>16337932</v>
      </c>
      <c r="D118" s="489">
        <v>11084876</v>
      </c>
      <c r="E118" s="489">
        <v>5253056</v>
      </c>
      <c r="F118" s="489">
        <v>400</v>
      </c>
      <c r="G118" s="489">
        <v>0</v>
      </c>
      <c r="H118" s="489">
        <f>C118-F118</f>
        <v>16337532</v>
      </c>
      <c r="I118" s="489">
        <f>H118-R118</f>
        <v>14655949</v>
      </c>
      <c r="J118" s="489">
        <v>1803138</v>
      </c>
      <c r="K118" s="489">
        <v>0</v>
      </c>
      <c r="L118" s="489">
        <v>0</v>
      </c>
      <c r="M118" s="489">
        <f>I118-J118-K118-L118-N118-O118-P118-Q118</f>
        <v>12852811</v>
      </c>
      <c r="N118" s="489">
        <v>0</v>
      </c>
      <c r="O118" s="489">
        <v>0</v>
      </c>
      <c r="P118" s="489">
        <v>0</v>
      </c>
      <c r="Q118" s="490">
        <v>0</v>
      </c>
      <c r="R118" s="504">
        <v>1681583</v>
      </c>
      <c r="S118" s="480">
        <f t="shared" si="32"/>
        <v>14534394</v>
      </c>
      <c r="T118" s="481">
        <f t="shared" si="33"/>
        <v>12.30311322726355</v>
      </c>
      <c r="U118" s="482">
        <f t="shared" si="25"/>
        <v>0</v>
      </c>
    </row>
    <row r="119" spans="1:21" s="483" customFormat="1" ht="34.5" customHeight="1">
      <c r="A119" s="479">
        <v>15.2</v>
      </c>
      <c r="B119" s="520" t="s">
        <v>555</v>
      </c>
      <c r="C119" s="489">
        <f>D119+E119</f>
        <v>12798114</v>
      </c>
      <c r="D119" s="489">
        <v>9472045</v>
      </c>
      <c r="E119" s="489">
        <v>3326069</v>
      </c>
      <c r="F119" s="489">
        <v>0</v>
      </c>
      <c r="G119" s="489">
        <v>0</v>
      </c>
      <c r="H119" s="489">
        <f>C119-F119</f>
        <v>12798114</v>
      </c>
      <c r="I119" s="489">
        <f>H119-R119</f>
        <v>11769953</v>
      </c>
      <c r="J119" s="489">
        <v>106250</v>
      </c>
      <c r="K119" s="489">
        <v>0</v>
      </c>
      <c r="L119" s="489">
        <v>0</v>
      </c>
      <c r="M119" s="489">
        <f>I119-J119-K119-L119-N119-O119-P119-Q119</f>
        <v>11663703</v>
      </c>
      <c r="N119" s="489">
        <v>0</v>
      </c>
      <c r="O119" s="489">
        <v>0</v>
      </c>
      <c r="P119" s="489">
        <v>0</v>
      </c>
      <c r="Q119" s="490">
        <v>0</v>
      </c>
      <c r="R119" s="504">
        <v>1028161</v>
      </c>
      <c r="S119" s="480">
        <f t="shared" si="32"/>
        <v>12691864</v>
      </c>
      <c r="T119" s="481">
        <f t="shared" si="33"/>
        <v>0.9027223813043264</v>
      </c>
      <c r="U119" s="482">
        <f t="shared" si="25"/>
        <v>0</v>
      </c>
    </row>
    <row r="120" spans="1:21" s="483" customFormat="1" ht="34.5" customHeight="1">
      <c r="A120" s="479">
        <v>15.3</v>
      </c>
      <c r="B120" s="520" t="s">
        <v>556</v>
      </c>
      <c r="C120" s="489">
        <f>D120+E120</f>
        <v>18564884</v>
      </c>
      <c r="D120" s="489">
        <v>18295870</v>
      </c>
      <c r="E120" s="489">
        <v>269014</v>
      </c>
      <c r="F120" s="489">
        <v>0</v>
      </c>
      <c r="G120" s="489">
        <v>0</v>
      </c>
      <c r="H120" s="489">
        <f>C120-F120</f>
        <v>18564884</v>
      </c>
      <c r="I120" s="489">
        <f>H120-R120</f>
        <v>1055713</v>
      </c>
      <c r="J120" s="489">
        <v>60929</v>
      </c>
      <c r="K120" s="489">
        <v>460131</v>
      </c>
      <c r="L120" s="489">
        <v>0</v>
      </c>
      <c r="M120" s="489">
        <f>I120-J120-K120-L120-N120-O120-P120-Q120</f>
        <v>534653</v>
      </c>
      <c r="N120" s="489">
        <v>0</v>
      </c>
      <c r="O120" s="489">
        <v>0</v>
      </c>
      <c r="P120" s="489">
        <v>0</v>
      </c>
      <c r="Q120" s="490">
        <v>0</v>
      </c>
      <c r="R120" s="504">
        <f>17514171-5000</f>
        <v>17509171</v>
      </c>
      <c r="S120" s="480">
        <f t="shared" si="32"/>
        <v>18043824</v>
      </c>
      <c r="T120" s="481">
        <f t="shared" si="33"/>
        <v>49.356217077936904</v>
      </c>
      <c r="U120" s="482">
        <f t="shared" si="25"/>
        <v>0</v>
      </c>
    </row>
    <row r="121" spans="1:21" s="521" customFormat="1" ht="34.5" customHeight="1">
      <c r="A121" s="479">
        <v>15.4</v>
      </c>
      <c r="B121" s="520" t="s">
        <v>557</v>
      </c>
      <c r="C121" s="489">
        <f>D121+E121</f>
        <v>2499659</v>
      </c>
      <c r="D121" s="489">
        <v>2392953</v>
      </c>
      <c r="E121" s="489">
        <v>106706</v>
      </c>
      <c r="F121" s="489">
        <v>400</v>
      </c>
      <c r="G121" s="489">
        <v>0</v>
      </c>
      <c r="H121" s="489">
        <f>C121-F121</f>
        <v>2499259</v>
      </c>
      <c r="I121" s="489">
        <f>H121-R121</f>
        <v>1473896</v>
      </c>
      <c r="J121" s="489">
        <v>4113</v>
      </c>
      <c r="K121" s="489">
        <v>0</v>
      </c>
      <c r="L121" s="489">
        <v>0</v>
      </c>
      <c r="M121" s="489">
        <f>I121-J121-K121-L121-N121-O121-P121-Q121</f>
        <v>1469783</v>
      </c>
      <c r="N121" s="489">
        <v>0</v>
      </c>
      <c r="O121" s="489">
        <v>0</v>
      </c>
      <c r="P121" s="489">
        <v>0</v>
      </c>
      <c r="Q121" s="490">
        <v>0</v>
      </c>
      <c r="R121" s="504">
        <v>1025363</v>
      </c>
      <c r="S121" s="480">
        <f t="shared" si="32"/>
        <v>2495146</v>
      </c>
      <c r="T121" s="481">
        <f t="shared" si="33"/>
        <v>0.2790563241911234</v>
      </c>
      <c r="U121" s="482">
        <f t="shared" si="25"/>
        <v>0</v>
      </c>
    </row>
    <row r="122" spans="1:21" s="414" customFormat="1" ht="19.5" customHeight="1">
      <c r="A122" s="901"/>
      <c r="B122" s="901"/>
      <c r="C122" s="901"/>
      <c r="D122" s="901"/>
      <c r="E122" s="901"/>
      <c r="F122" s="415"/>
      <c r="G122" s="416"/>
      <c r="H122" s="434"/>
      <c r="I122" s="434"/>
      <c r="J122" s="416"/>
      <c r="K122" s="416"/>
      <c r="L122" s="416"/>
      <c r="M122" s="416"/>
      <c r="N122" s="416"/>
      <c r="O122" s="943" t="s">
        <v>581</v>
      </c>
      <c r="P122" s="943"/>
      <c r="Q122" s="943"/>
      <c r="R122" s="943"/>
      <c r="S122" s="943"/>
      <c r="T122" s="943"/>
      <c r="U122" s="417"/>
    </row>
    <row r="123" spans="1:20" ht="18.75">
      <c r="A123" s="418"/>
      <c r="B123" s="900" t="s">
        <v>4</v>
      </c>
      <c r="C123" s="900"/>
      <c r="D123" s="900"/>
      <c r="E123" s="900"/>
      <c r="F123" s="419"/>
      <c r="G123" s="419"/>
      <c r="H123" s="435"/>
      <c r="I123" s="435"/>
      <c r="J123" s="419"/>
      <c r="K123" s="419"/>
      <c r="L123" s="419"/>
      <c r="M123" s="419"/>
      <c r="N123" s="419"/>
      <c r="O123" s="951" t="str">
        <f>'[8]Thong tin'!B7</f>
        <v>
PHÓ CỤC TRƯỞNG</v>
      </c>
      <c r="P123" s="951"/>
      <c r="Q123" s="951"/>
      <c r="R123" s="951"/>
      <c r="S123" s="951"/>
      <c r="T123" s="951"/>
    </row>
    <row r="124" spans="1:20" ht="18.75">
      <c r="A124" s="420"/>
      <c r="B124" s="421"/>
      <c r="C124" s="432"/>
      <c r="D124" s="422"/>
      <c r="E124" s="422"/>
      <c r="F124" s="422"/>
      <c r="G124" s="422"/>
      <c r="H124" s="432"/>
      <c r="I124" s="432"/>
      <c r="J124" s="422"/>
      <c r="K124" s="422"/>
      <c r="L124" s="422"/>
      <c r="M124" s="422"/>
      <c r="N124" s="422"/>
      <c r="O124" s="422"/>
      <c r="P124" s="422"/>
      <c r="Q124" s="422"/>
      <c r="R124" s="432"/>
      <c r="S124" s="432"/>
      <c r="T124" s="423"/>
    </row>
    <row r="125" spans="1:20" ht="18.75">
      <c r="A125" s="424"/>
      <c r="B125" s="898"/>
      <c r="C125" s="898"/>
      <c r="D125" s="898"/>
      <c r="E125" s="422"/>
      <c r="F125" s="422"/>
      <c r="G125" s="422"/>
      <c r="H125" s="432"/>
      <c r="I125" s="432"/>
      <c r="J125" s="422"/>
      <c r="K125" s="422"/>
      <c r="L125" s="422"/>
      <c r="M125" s="422"/>
      <c r="N125" s="422"/>
      <c r="O125" s="422"/>
      <c r="P125" s="422"/>
      <c r="Q125" s="897"/>
      <c r="R125" s="897"/>
      <c r="S125" s="897"/>
      <c r="T125" s="423"/>
    </row>
    <row r="126" spans="1:20" ht="15.75" customHeight="1">
      <c r="A126" s="425"/>
      <c r="B126" s="421"/>
      <c r="C126" s="432"/>
      <c r="D126" s="422"/>
      <c r="E126" s="422"/>
      <c r="F126" s="422"/>
      <c r="G126" s="422"/>
      <c r="H126" s="432"/>
      <c r="I126" s="432"/>
      <c r="J126" s="422"/>
      <c r="K126" s="422"/>
      <c r="L126" s="422"/>
      <c r="M126" s="422"/>
      <c r="N126" s="422"/>
      <c r="O126" s="422"/>
      <c r="P126" s="422"/>
      <c r="Q126" s="422"/>
      <c r="R126" s="432"/>
      <c r="S126" s="432"/>
      <c r="T126" s="423"/>
    </row>
    <row r="127" spans="1:20" ht="15.75" customHeight="1">
      <c r="A127" s="424"/>
      <c r="B127" s="898"/>
      <c r="C127" s="898"/>
      <c r="D127" s="898"/>
      <c r="E127" s="898"/>
      <c r="F127" s="898"/>
      <c r="G127" s="898"/>
      <c r="H127" s="898"/>
      <c r="I127" s="898"/>
      <c r="J127" s="898"/>
      <c r="K127" s="898"/>
      <c r="L127" s="898"/>
      <c r="M127" s="898"/>
      <c r="N127" s="898"/>
      <c r="O127" s="898"/>
      <c r="P127" s="898"/>
      <c r="Q127" s="422"/>
      <c r="R127" s="432"/>
      <c r="S127" s="432"/>
      <c r="T127" s="423"/>
    </row>
    <row r="128" spans="1:20" ht="18.75">
      <c r="A128" s="426"/>
      <c r="B128" s="427"/>
      <c r="C128" s="433"/>
      <c r="D128" s="428"/>
      <c r="E128" s="428"/>
      <c r="F128" s="428"/>
      <c r="G128" s="428"/>
      <c r="H128" s="433"/>
      <c r="I128" s="433"/>
      <c r="J128" s="428"/>
      <c r="K128" s="428"/>
      <c r="L128" s="428"/>
      <c r="M128" s="428"/>
      <c r="N128" s="428"/>
      <c r="O128" s="428"/>
      <c r="P128" s="428"/>
      <c r="Q128" s="428"/>
      <c r="R128" s="432"/>
      <c r="S128" s="432"/>
      <c r="T128" s="423"/>
    </row>
    <row r="129" spans="1:20" ht="18.75">
      <c r="A129" s="424"/>
      <c r="B129" s="898" t="str">
        <f>'Thong tin'!B5</f>
        <v>Trần Thị Minh</v>
      </c>
      <c r="C129" s="898"/>
      <c r="D129" s="898"/>
      <c r="E129" s="898"/>
      <c r="F129" s="422"/>
      <c r="G129" s="422"/>
      <c r="H129" s="432"/>
      <c r="I129" s="432"/>
      <c r="J129" s="422"/>
      <c r="K129" s="422"/>
      <c r="L129" s="422"/>
      <c r="M129" s="422"/>
      <c r="N129" s="422"/>
      <c r="O129" s="898" t="str">
        <f>'Thong tin'!B6</f>
        <v>Nguyễn Thị Mai Hoa</v>
      </c>
      <c r="P129" s="898"/>
      <c r="Q129" s="898"/>
      <c r="R129" s="898"/>
      <c r="S129" s="898"/>
      <c r="T129" s="898"/>
    </row>
    <row r="130" spans="2:20" ht="18.75">
      <c r="B130" s="949"/>
      <c r="C130" s="949"/>
      <c r="D130" s="949"/>
      <c r="E130" s="949"/>
      <c r="P130" s="949"/>
      <c r="Q130" s="949"/>
      <c r="R130" s="949"/>
      <c r="S130" s="949"/>
      <c r="T130" s="950"/>
    </row>
  </sheetData>
  <sheetProtection/>
  <mergeCells count="37">
    <mergeCell ref="Q125:S125"/>
    <mergeCell ref="B125:D125"/>
    <mergeCell ref="A11:B11"/>
    <mergeCell ref="B130:E130"/>
    <mergeCell ref="P130:T130"/>
    <mergeCell ref="B129:E129"/>
    <mergeCell ref="B127:P127"/>
    <mergeCell ref="O129:T129"/>
    <mergeCell ref="O123:T123"/>
    <mergeCell ref="B123:E123"/>
    <mergeCell ref="A10:B10"/>
    <mergeCell ref="E8:E9"/>
    <mergeCell ref="A6:B9"/>
    <mergeCell ref="O122:T122"/>
    <mergeCell ref="T6:T9"/>
    <mergeCell ref="I7:Q7"/>
    <mergeCell ref="S6:S9"/>
    <mergeCell ref="A122:E122"/>
    <mergeCell ref="E1:P1"/>
    <mergeCell ref="E2:P2"/>
    <mergeCell ref="E3:P3"/>
    <mergeCell ref="D7:E7"/>
    <mergeCell ref="C6:E6"/>
    <mergeCell ref="C7:C9"/>
    <mergeCell ref="A2:D2"/>
    <mergeCell ref="J8:Q8"/>
    <mergeCell ref="H7:H9"/>
    <mergeCell ref="D8:D9"/>
    <mergeCell ref="Q2:T2"/>
    <mergeCell ref="Q4:T4"/>
    <mergeCell ref="A3:D3"/>
    <mergeCell ref="R7:R9"/>
    <mergeCell ref="I8:I9"/>
    <mergeCell ref="F6:F9"/>
    <mergeCell ref="G6:G9"/>
    <mergeCell ref="H6:R6"/>
    <mergeCell ref="Q5:T5"/>
  </mergeCells>
  <conditionalFormatting sqref="C91:C93">
    <cfRule type="expression" priority="5" dxfId="0" stopIfTrue="1">
      <formula>$C$16&lt;&gt;$F$16+$H$16</formula>
    </cfRule>
  </conditionalFormatting>
  <printOptions/>
  <pageMargins left="0.24" right="0" top="0" bottom="0" header="0.511811023622047" footer="0.275590551181102"/>
  <pageSetup horizontalDpi="600" verticalDpi="600" orientation="landscape" paperSize="9" scale="76" r:id="rId2"/>
  <headerFooter alignWithMargins="0">
    <oddFooter>&amp;CPage &amp;P</oddFooter>
  </headerFooter>
  <ignoredErrors>
    <ignoredError sqref="D94:R94 F64:T71 I45:I46" formulaRange="1"/>
    <ignoredError sqref="S58:T62 C73:R75 C95:R97 C58:H62 J58:R62" unlockedFormula="1"/>
    <ignoredError sqref="T47:T48" evalError="1"/>
    <ignoredError sqref="C44:H44 C47:H47 C117:S117 S73:T75 C72 S77:T79 C76 T76 T72 J47:R47 C112:R112 C98:R98 C94 H76 C63:R63" formula="1"/>
    <ignoredError sqref="J72:S72 S76 D72:G72 H72:I72 S112 I47 S63:T63 I58:I62" formula="1" formulaRange="1"/>
    <ignoredError sqref="S63:T63" formula="1" formulaRange="1" unlockedFormula="1"/>
    <ignoredError sqref="I58:I62" formulaRange="1" unlockedFormula="1"/>
  </ignoredErrors>
  <drawing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33" customWidth="1"/>
    <col min="2" max="2" width="22.125" style="33" customWidth="1"/>
    <col min="3" max="3" width="7.50390625" style="73" customWidth="1"/>
    <col min="4" max="4" width="12.375" style="73" customWidth="1"/>
    <col min="5" max="5" width="6.25390625" style="73" customWidth="1"/>
    <col min="6" max="6" width="12.625" style="73" customWidth="1"/>
    <col min="7" max="7" width="8.00390625" style="33" customWidth="1"/>
    <col min="8" max="8" width="11.25390625" style="33" customWidth="1"/>
    <col min="9" max="9" width="7.125" style="33" customWidth="1"/>
    <col min="10" max="10" width="11.25390625" style="33" customWidth="1"/>
    <col min="11" max="11" width="7.375" style="33" customWidth="1"/>
    <col min="12" max="12" width="10.50390625" style="33" customWidth="1"/>
    <col min="13" max="13" width="6.00390625" style="33" customWidth="1"/>
    <col min="14" max="14" width="10.875" style="33" customWidth="1"/>
    <col min="15" max="15" width="14.625" style="74" customWidth="1"/>
    <col min="16" max="16" width="13.00390625" style="74" customWidth="1"/>
    <col min="17"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6" ht="26.25" customHeight="1">
      <c r="A1" s="639" t="s">
        <v>29</v>
      </c>
      <c r="B1" s="639"/>
      <c r="C1" s="639"/>
      <c r="D1" s="639"/>
      <c r="E1" s="638" t="s">
        <v>371</v>
      </c>
      <c r="F1" s="638"/>
      <c r="G1" s="638"/>
      <c r="H1" s="638"/>
      <c r="I1" s="638"/>
      <c r="J1" s="638"/>
      <c r="K1" s="638"/>
      <c r="L1" s="31" t="s">
        <v>347</v>
      </c>
      <c r="M1" s="31"/>
      <c r="N1" s="31"/>
      <c r="O1" s="32"/>
      <c r="P1" s="32"/>
    </row>
    <row r="2" spans="1:16" ht="15.75" customHeight="1">
      <c r="A2" s="641" t="s">
        <v>238</v>
      </c>
      <c r="B2" s="641"/>
      <c r="C2" s="641"/>
      <c r="D2" s="641"/>
      <c r="E2" s="638"/>
      <c r="F2" s="638"/>
      <c r="G2" s="638"/>
      <c r="H2" s="638"/>
      <c r="I2" s="638"/>
      <c r="J2" s="638"/>
      <c r="K2" s="638"/>
      <c r="L2" s="642" t="s">
        <v>250</v>
      </c>
      <c r="M2" s="642"/>
      <c r="N2" s="642"/>
      <c r="O2" s="35"/>
      <c r="P2" s="32"/>
    </row>
    <row r="3" spans="1:16" ht="18" customHeight="1">
      <c r="A3" s="641" t="s">
        <v>239</v>
      </c>
      <c r="B3" s="641"/>
      <c r="C3" s="641"/>
      <c r="D3" s="641"/>
      <c r="E3" s="640" t="s">
        <v>367</v>
      </c>
      <c r="F3" s="640"/>
      <c r="G3" s="640"/>
      <c r="H3" s="640"/>
      <c r="I3" s="640"/>
      <c r="J3" s="640"/>
      <c r="K3" s="36"/>
      <c r="L3" s="643" t="s">
        <v>366</v>
      </c>
      <c r="M3" s="643"/>
      <c r="N3" s="643"/>
      <c r="O3" s="32"/>
      <c r="P3" s="32"/>
    </row>
    <row r="4" spans="1:16" ht="21" customHeight="1">
      <c r="A4" s="644" t="s">
        <v>253</v>
      </c>
      <c r="B4" s="644"/>
      <c r="C4" s="644"/>
      <c r="D4" s="644"/>
      <c r="E4" s="39"/>
      <c r="F4" s="40"/>
      <c r="G4" s="41"/>
      <c r="H4" s="41"/>
      <c r="I4" s="41"/>
      <c r="J4" s="41"/>
      <c r="K4" s="32"/>
      <c r="L4" s="642" t="s">
        <v>245</v>
      </c>
      <c r="M4" s="642"/>
      <c r="N4" s="642"/>
      <c r="O4" s="35"/>
      <c r="P4" s="32"/>
    </row>
    <row r="5" spans="1:16" ht="18" customHeight="1">
      <c r="A5" s="41"/>
      <c r="B5" s="32"/>
      <c r="C5" s="42"/>
      <c r="D5" s="628"/>
      <c r="E5" s="628"/>
      <c r="F5" s="628"/>
      <c r="G5" s="628"/>
      <c r="H5" s="628"/>
      <c r="I5" s="628"/>
      <c r="J5" s="628"/>
      <c r="K5" s="628"/>
      <c r="L5" s="43" t="s">
        <v>254</v>
      </c>
      <c r="M5" s="43"/>
      <c r="N5" s="43"/>
      <c r="O5" s="32"/>
      <c r="P5" s="32"/>
    </row>
    <row r="6" spans="1:18" ht="33" customHeight="1">
      <c r="A6" s="658" t="s">
        <v>55</v>
      </c>
      <c r="B6" s="659"/>
      <c r="C6" s="629" t="s">
        <v>255</v>
      </c>
      <c r="D6" s="629"/>
      <c r="E6" s="629"/>
      <c r="F6" s="629"/>
      <c r="G6" s="630" t="s">
        <v>7</v>
      </c>
      <c r="H6" s="631"/>
      <c r="I6" s="631"/>
      <c r="J6" s="631"/>
      <c r="K6" s="631"/>
      <c r="L6" s="631"/>
      <c r="M6" s="631"/>
      <c r="N6" s="632"/>
      <c r="O6" s="625" t="s">
        <v>256</v>
      </c>
      <c r="P6" s="626"/>
      <c r="Q6" s="626"/>
      <c r="R6" s="627"/>
    </row>
    <row r="7" spans="1:18" ht="29.25" customHeight="1">
      <c r="A7" s="660"/>
      <c r="B7" s="661"/>
      <c r="C7" s="629"/>
      <c r="D7" s="629"/>
      <c r="E7" s="629"/>
      <c r="F7" s="629"/>
      <c r="G7" s="630" t="s">
        <v>257</v>
      </c>
      <c r="H7" s="631"/>
      <c r="I7" s="631"/>
      <c r="J7" s="632"/>
      <c r="K7" s="630" t="s">
        <v>90</v>
      </c>
      <c r="L7" s="631"/>
      <c r="M7" s="631"/>
      <c r="N7" s="632"/>
      <c r="O7" s="45" t="s">
        <v>258</v>
      </c>
      <c r="P7" s="45" t="s">
        <v>259</v>
      </c>
      <c r="Q7" s="633" t="s">
        <v>260</v>
      </c>
      <c r="R7" s="633" t="s">
        <v>261</v>
      </c>
    </row>
    <row r="8" spans="1:18" ht="26.25" customHeight="1">
      <c r="A8" s="660"/>
      <c r="B8" s="661"/>
      <c r="C8" s="648" t="s">
        <v>87</v>
      </c>
      <c r="D8" s="652"/>
      <c r="E8" s="648" t="s">
        <v>86</v>
      </c>
      <c r="F8" s="652"/>
      <c r="G8" s="648" t="s">
        <v>88</v>
      </c>
      <c r="H8" s="649"/>
      <c r="I8" s="648" t="s">
        <v>89</v>
      </c>
      <c r="J8" s="649"/>
      <c r="K8" s="648" t="s">
        <v>91</v>
      </c>
      <c r="L8" s="649"/>
      <c r="M8" s="648" t="s">
        <v>92</v>
      </c>
      <c r="N8" s="649"/>
      <c r="O8" s="635" t="s">
        <v>262</v>
      </c>
      <c r="P8" s="636" t="s">
        <v>263</v>
      </c>
      <c r="Q8" s="633"/>
      <c r="R8" s="633"/>
    </row>
    <row r="9" spans="1:18" ht="30.75" customHeight="1">
      <c r="A9" s="660"/>
      <c r="B9" s="661"/>
      <c r="C9" s="46" t="s">
        <v>3</v>
      </c>
      <c r="D9" s="44" t="s">
        <v>9</v>
      </c>
      <c r="E9" s="44" t="s">
        <v>3</v>
      </c>
      <c r="F9" s="44" t="s">
        <v>9</v>
      </c>
      <c r="G9" s="47" t="s">
        <v>3</v>
      </c>
      <c r="H9" s="47" t="s">
        <v>9</v>
      </c>
      <c r="I9" s="47" t="s">
        <v>3</v>
      </c>
      <c r="J9" s="47" t="s">
        <v>9</v>
      </c>
      <c r="K9" s="47" t="s">
        <v>3</v>
      </c>
      <c r="L9" s="47" t="s">
        <v>9</v>
      </c>
      <c r="M9" s="47" t="s">
        <v>3</v>
      </c>
      <c r="N9" s="47" t="s">
        <v>9</v>
      </c>
      <c r="O9" s="635"/>
      <c r="P9" s="637"/>
      <c r="Q9" s="634"/>
      <c r="R9" s="634"/>
    </row>
    <row r="10" spans="1:18" s="52" customFormat="1" ht="18" customHeight="1">
      <c r="A10" s="657" t="s">
        <v>6</v>
      </c>
      <c r="B10" s="657"/>
      <c r="C10" s="48">
        <v>1</v>
      </c>
      <c r="D10" s="48">
        <v>2</v>
      </c>
      <c r="E10" s="48">
        <v>3</v>
      </c>
      <c r="F10" s="48">
        <v>4</v>
      </c>
      <c r="G10" s="48">
        <v>5</v>
      </c>
      <c r="H10" s="48">
        <v>6</v>
      </c>
      <c r="I10" s="48">
        <v>7</v>
      </c>
      <c r="J10" s="48">
        <v>8</v>
      </c>
      <c r="K10" s="48">
        <v>9</v>
      </c>
      <c r="L10" s="48">
        <v>10</v>
      </c>
      <c r="M10" s="48">
        <v>11</v>
      </c>
      <c r="N10" s="48">
        <v>12</v>
      </c>
      <c r="O10" s="49" t="s">
        <v>84</v>
      </c>
      <c r="P10" s="49" t="s">
        <v>85</v>
      </c>
      <c r="Q10" s="50"/>
      <c r="R10" s="51"/>
    </row>
    <row r="11" spans="1:18" s="52" customFormat="1" ht="18" customHeight="1" hidden="1">
      <c r="A11" s="653" t="s">
        <v>264</v>
      </c>
      <c r="B11" s="654"/>
      <c r="C11" s="53">
        <f aca="true" t="shared" si="0" ref="C11:N11">C13-C12</f>
        <v>-5</v>
      </c>
      <c r="D11" s="53">
        <f t="shared" si="0"/>
        <v>30432</v>
      </c>
      <c r="E11" s="53">
        <f t="shared" si="0"/>
        <v>3</v>
      </c>
      <c r="F11" s="53">
        <f t="shared" si="0"/>
        <v>43892</v>
      </c>
      <c r="G11" s="53">
        <f t="shared" si="0"/>
        <v>5</v>
      </c>
      <c r="H11" s="53">
        <f t="shared" si="0"/>
        <v>40274</v>
      </c>
      <c r="I11" s="53">
        <f t="shared" si="0"/>
        <v>3</v>
      </c>
      <c r="J11" s="53">
        <f t="shared" si="0"/>
        <v>35774</v>
      </c>
      <c r="K11" s="53">
        <f t="shared" si="0"/>
        <v>-10</v>
      </c>
      <c r="L11" s="53">
        <f t="shared" si="0"/>
        <v>-9842</v>
      </c>
      <c r="M11" s="53">
        <f t="shared" si="0"/>
        <v>0</v>
      </c>
      <c r="N11" s="53">
        <f t="shared" si="0"/>
        <v>8118</v>
      </c>
      <c r="O11" s="49"/>
      <c r="P11" s="49"/>
      <c r="Q11" s="50"/>
      <c r="R11" s="51"/>
    </row>
    <row r="12" spans="1:18" s="52" customFormat="1" ht="18" customHeight="1" hidden="1">
      <c r="A12" s="655" t="s">
        <v>368</v>
      </c>
      <c r="B12" s="656"/>
      <c r="C12" s="54">
        <v>48</v>
      </c>
      <c r="D12" s="54">
        <v>218534</v>
      </c>
      <c r="E12" s="54">
        <v>32</v>
      </c>
      <c r="F12" s="54">
        <v>176714</v>
      </c>
      <c r="G12" s="54">
        <v>32</v>
      </c>
      <c r="H12" s="54">
        <v>105252</v>
      </c>
      <c r="I12" s="54">
        <v>32</v>
      </c>
      <c r="J12" s="54">
        <v>105252</v>
      </c>
      <c r="K12" s="54">
        <v>16</v>
      </c>
      <c r="L12" s="54">
        <v>113282</v>
      </c>
      <c r="M12" s="54">
        <v>0</v>
      </c>
      <c r="N12" s="54">
        <v>71462</v>
      </c>
      <c r="O12" s="55"/>
      <c r="P12" s="55"/>
      <c r="Q12" s="50"/>
      <c r="R12" s="51"/>
    </row>
    <row r="13" spans="1:32" s="52" customFormat="1" ht="18" customHeight="1">
      <c r="A13" s="645" t="s">
        <v>31</v>
      </c>
      <c r="B13" s="646"/>
      <c r="C13" s="56">
        <f aca="true" t="shared" si="1" ref="C13:N13">C15+C14</f>
        <v>43</v>
      </c>
      <c r="D13" s="56">
        <f t="shared" si="1"/>
        <v>248966</v>
      </c>
      <c r="E13" s="56">
        <f t="shared" si="1"/>
        <v>35</v>
      </c>
      <c r="F13" s="56">
        <f t="shared" si="1"/>
        <v>220606</v>
      </c>
      <c r="G13" s="56">
        <f t="shared" si="1"/>
        <v>37</v>
      </c>
      <c r="H13" s="56">
        <f t="shared" si="1"/>
        <v>145526</v>
      </c>
      <c r="I13" s="56">
        <f t="shared" si="1"/>
        <v>35</v>
      </c>
      <c r="J13" s="56">
        <f t="shared" si="1"/>
        <v>141026</v>
      </c>
      <c r="K13" s="56">
        <f t="shared" si="1"/>
        <v>6</v>
      </c>
      <c r="L13" s="56">
        <f t="shared" si="1"/>
        <v>103440</v>
      </c>
      <c r="M13" s="56">
        <f t="shared" si="1"/>
        <v>0</v>
      </c>
      <c r="N13" s="56">
        <f t="shared" si="1"/>
        <v>79580</v>
      </c>
      <c r="O13" s="57">
        <f>O14+O15</f>
        <v>35</v>
      </c>
      <c r="P13" s="58">
        <f>P14+P15</f>
        <v>220606</v>
      </c>
      <c r="Q13" s="50">
        <f aca="true" t="shared" si="2" ref="Q13:Q26">E13-O13</f>
        <v>0</v>
      </c>
      <c r="R13" s="50">
        <f aca="true" t="shared" si="3" ref="R13:R26">F13-P13</f>
        <v>0</v>
      </c>
      <c r="AF13" s="52" t="s">
        <v>265</v>
      </c>
    </row>
    <row r="14" spans="1:37" s="52" customFormat="1" ht="18" customHeight="1">
      <c r="A14" s="59" t="s">
        <v>0</v>
      </c>
      <c r="B14" s="60" t="s">
        <v>78</v>
      </c>
      <c r="C14" s="61">
        <f>G14+K14</f>
        <v>2</v>
      </c>
      <c r="D14" s="61">
        <f>H14+L14</f>
        <v>13066</v>
      </c>
      <c r="E14" s="61">
        <f>I14+M14</f>
        <v>1</v>
      </c>
      <c r="F14" s="61">
        <f>J14+N14</f>
        <v>13066</v>
      </c>
      <c r="G14" s="62">
        <v>1</v>
      </c>
      <c r="H14" s="62">
        <v>9800</v>
      </c>
      <c r="I14" s="62">
        <v>1</v>
      </c>
      <c r="J14" s="62">
        <v>9800</v>
      </c>
      <c r="K14" s="62">
        <v>1</v>
      </c>
      <c r="L14" s="62">
        <v>3266</v>
      </c>
      <c r="M14" s="62">
        <v>0</v>
      </c>
      <c r="N14" s="62">
        <v>3266</v>
      </c>
      <c r="O14" s="50">
        <f>'[4]M6 Tong hop Viec CHV '!$K$20</f>
        <v>1</v>
      </c>
      <c r="P14" s="51">
        <f>'[4]M7 Thop tien CHV'!$K$20</f>
        <v>13066</v>
      </c>
      <c r="Q14" s="50">
        <f t="shared" si="2"/>
        <v>0</v>
      </c>
      <c r="R14" s="50">
        <f t="shared" si="3"/>
        <v>0</v>
      </c>
      <c r="AK14" s="63"/>
    </row>
    <row r="15" spans="1:18" s="52" customFormat="1" ht="18" customHeight="1">
      <c r="A15" s="64" t="s">
        <v>1</v>
      </c>
      <c r="B15" s="60" t="s">
        <v>17</v>
      </c>
      <c r="C15" s="65">
        <f aca="true" t="shared" si="4" ref="C15:N15">SUM(C16:C26)</f>
        <v>41</v>
      </c>
      <c r="D15" s="65">
        <f t="shared" si="4"/>
        <v>235900</v>
      </c>
      <c r="E15" s="65">
        <f t="shared" si="4"/>
        <v>34</v>
      </c>
      <c r="F15" s="65">
        <f t="shared" si="4"/>
        <v>207540</v>
      </c>
      <c r="G15" s="65">
        <f t="shared" si="4"/>
        <v>36</v>
      </c>
      <c r="H15" s="65">
        <f t="shared" si="4"/>
        <v>135726</v>
      </c>
      <c r="I15" s="65">
        <f t="shared" si="4"/>
        <v>34</v>
      </c>
      <c r="J15" s="65">
        <f t="shared" si="4"/>
        <v>131226</v>
      </c>
      <c r="K15" s="65">
        <f t="shared" si="4"/>
        <v>5</v>
      </c>
      <c r="L15" s="65">
        <f t="shared" si="4"/>
        <v>100174</v>
      </c>
      <c r="M15" s="65">
        <f t="shared" si="4"/>
        <v>0</v>
      </c>
      <c r="N15" s="65">
        <f t="shared" si="4"/>
        <v>76314</v>
      </c>
      <c r="O15" s="57">
        <f>O16+O17+O18+O19+O20+O21+O22+O23+O24+O25+O26</f>
        <v>34</v>
      </c>
      <c r="P15" s="58">
        <f>P16+P17+P18+P19+P20+P21+P22+P23+P24+P25+P26</f>
        <v>207540</v>
      </c>
      <c r="Q15" s="50">
        <f t="shared" si="2"/>
        <v>0</v>
      </c>
      <c r="R15" s="50">
        <f t="shared" si="3"/>
        <v>0</v>
      </c>
    </row>
    <row r="16" spans="1:38" s="52" customFormat="1" ht="18" customHeight="1">
      <c r="A16" s="66" t="s">
        <v>43</v>
      </c>
      <c r="B16" s="67" t="s">
        <v>266</v>
      </c>
      <c r="C16" s="61">
        <f aca="true" t="shared" si="5" ref="C16:C26">G16+K16</f>
        <v>5</v>
      </c>
      <c r="D16" s="61">
        <f aca="true" t="shared" si="6" ref="D16:D26">H16+L16</f>
        <v>47300</v>
      </c>
      <c r="E16" s="61">
        <f aca="true" t="shared" si="7" ref="E16:E26">I16+M16</f>
        <v>5</v>
      </c>
      <c r="F16" s="61">
        <f aca="true" t="shared" si="8" ref="F16:F26">J16+N16</f>
        <v>47300</v>
      </c>
      <c r="G16" s="62">
        <v>5</v>
      </c>
      <c r="H16" s="62">
        <v>27717</v>
      </c>
      <c r="I16" s="62">
        <v>5</v>
      </c>
      <c r="J16" s="62">
        <v>27717</v>
      </c>
      <c r="K16" s="62"/>
      <c r="L16" s="62">
        <v>19583</v>
      </c>
      <c r="M16" s="62"/>
      <c r="N16" s="62">
        <v>19583</v>
      </c>
      <c r="O16" s="50">
        <f>'[4]M6 Tong hop Viec CHV '!$K$30</f>
        <v>5</v>
      </c>
      <c r="P16" s="51">
        <f>'[4]M7 Thop tien CHV'!$K$30</f>
        <v>47300</v>
      </c>
      <c r="Q16" s="50">
        <f t="shared" si="2"/>
        <v>0</v>
      </c>
      <c r="R16" s="50">
        <f t="shared" si="3"/>
        <v>0</v>
      </c>
      <c r="AL16" s="63"/>
    </row>
    <row r="17" spans="1:32" s="52" customFormat="1" ht="18" customHeight="1">
      <c r="A17" s="66" t="s">
        <v>44</v>
      </c>
      <c r="B17" s="68" t="s">
        <v>267</v>
      </c>
      <c r="C17" s="61">
        <f t="shared" si="5"/>
        <v>1</v>
      </c>
      <c r="D17" s="61">
        <f t="shared" si="6"/>
        <v>4840</v>
      </c>
      <c r="E17" s="61">
        <f t="shared" si="7"/>
        <v>1</v>
      </c>
      <c r="F17" s="61">
        <f t="shared" si="8"/>
        <v>4840</v>
      </c>
      <c r="G17" s="62">
        <v>1</v>
      </c>
      <c r="H17" s="62">
        <v>4840</v>
      </c>
      <c r="I17" s="62">
        <v>1</v>
      </c>
      <c r="J17" s="62">
        <v>4840</v>
      </c>
      <c r="K17" s="62">
        <v>0</v>
      </c>
      <c r="L17" s="62">
        <v>0</v>
      </c>
      <c r="M17" s="62">
        <v>0</v>
      </c>
      <c r="N17" s="62">
        <v>0</v>
      </c>
      <c r="O17" s="50">
        <f>'[5]M6 Tong hop Viec CHV '!$K$39</f>
        <v>1</v>
      </c>
      <c r="P17" s="51">
        <f>'[5]M7 Thop tien CHV'!$K$37</f>
        <v>4840</v>
      </c>
      <c r="Q17" s="50">
        <f t="shared" si="2"/>
        <v>0</v>
      </c>
      <c r="R17" s="50">
        <f t="shared" si="3"/>
        <v>0</v>
      </c>
      <c r="AF17" s="63" t="s">
        <v>268</v>
      </c>
    </row>
    <row r="18" spans="1:18" s="70" customFormat="1" ht="18" customHeight="1">
      <c r="A18" s="66" t="s">
        <v>47</v>
      </c>
      <c r="B18" s="67" t="s">
        <v>269</v>
      </c>
      <c r="C18" s="61">
        <f t="shared" si="5"/>
        <v>11</v>
      </c>
      <c r="D18" s="61">
        <f t="shared" si="6"/>
        <v>87159</v>
      </c>
      <c r="E18" s="61">
        <f t="shared" si="7"/>
        <v>8</v>
      </c>
      <c r="F18" s="61">
        <f t="shared" si="8"/>
        <v>87159</v>
      </c>
      <c r="G18" s="69">
        <v>8</v>
      </c>
      <c r="H18" s="69">
        <v>38228</v>
      </c>
      <c r="I18" s="69">
        <v>8</v>
      </c>
      <c r="J18" s="69">
        <v>38228</v>
      </c>
      <c r="K18" s="69">
        <v>3</v>
      </c>
      <c r="L18" s="69">
        <v>48931</v>
      </c>
      <c r="M18" s="69"/>
      <c r="N18" s="69">
        <v>48931</v>
      </c>
      <c r="O18" s="50">
        <f>'[5]M6 Tong hop Viec CHV '!$K$46</f>
        <v>8</v>
      </c>
      <c r="P18" s="51">
        <f>'[4]M7 Thop tien CHV'!$K$41</f>
        <v>87159</v>
      </c>
      <c r="Q18" s="50">
        <f t="shared" si="2"/>
        <v>0</v>
      </c>
      <c r="R18" s="50">
        <f t="shared" si="3"/>
        <v>0</v>
      </c>
    </row>
    <row r="19" spans="1:18" s="52" customFormat="1" ht="18" customHeight="1">
      <c r="A19" s="66" t="s">
        <v>56</v>
      </c>
      <c r="B19" s="67" t="s">
        <v>270</v>
      </c>
      <c r="C19" s="61">
        <f t="shared" si="5"/>
        <v>0</v>
      </c>
      <c r="D19" s="61">
        <f t="shared" si="6"/>
        <v>0</v>
      </c>
      <c r="E19" s="61">
        <f t="shared" si="7"/>
        <v>0</v>
      </c>
      <c r="F19" s="61">
        <f t="shared" si="8"/>
        <v>0</v>
      </c>
      <c r="G19" s="62">
        <v>0</v>
      </c>
      <c r="H19" s="62">
        <v>0</v>
      </c>
      <c r="I19" s="62">
        <v>0</v>
      </c>
      <c r="J19" s="62">
        <v>0</v>
      </c>
      <c r="K19" s="62">
        <v>0</v>
      </c>
      <c r="L19" s="62">
        <v>0</v>
      </c>
      <c r="M19" s="62">
        <v>0</v>
      </c>
      <c r="N19" s="62">
        <v>0</v>
      </c>
      <c r="O19" s="50">
        <f>'[4]M6 Tong hop Viec CHV '!$K$52</f>
        <v>0</v>
      </c>
      <c r="P19" s="51">
        <f>'[4]M7 Thop tien CHV'!$K$51</f>
        <v>0</v>
      </c>
      <c r="Q19" s="50">
        <f t="shared" si="2"/>
        <v>0</v>
      </c>
      <c r="R19" s="50">
        <f t="shared" si="3"/>
        <v>0</v>
      </c>
    </row>
    <row r="20" spans="1:18" s="52" customFormat="1" ht="18" customHeight="1">
      <c r="A20" s="66" t="s">
        <v>57</v>
      </c>
      <c r="B20" s="71" t="s">
        <v>271</v>
      </c>
      <c r="C20" s="61">
        <f t="shared" si="5"/>
        <v>8</v>
      </c>
      <c r="D20" s="61">
        <f t="shared" si="6"/>
        <v>7479</v>
      </c>
      <c r="E20" s="61">
        <f t="shared" si="7"/>
        <v>8</v>
      </c>
      <c r="F20" s="61">
        <f t="shared" si="8"/>
        <v>7479</v>
      </c>
      <c r="G20" s="62">
        <v>8</v>
      </c>
      <c r="H20" s="62">
        <v>7479</v>
      </c>
      <c r="I20" s="62">
        <v>8</v>
      </c>
      <c r="J20" s="62">
        <v>7479</v>
      </c>
      <c r="K20" s="62">
        <v>0</v>
      </c>
      <c r="L20" s="62">
        <v>0</v>
      </c>
      <c r="M20" s="62">
        <v>0</v>
      </c>
      <c r="N20" s="62">
        <v>0</v>
      </c>
      <c r="O20" s="50">
        <f>'[5]M6 Tong hop Viec CHV '!$K$64</f>
        <v>8</v>
      </c>
      <c r="P20" s="51">
        <f>'[5]M7 Thop tien CHV'!$K$55</f>
        <v>7479</v>
      </c>
      <c r="Q20" s="50">
        <f t="shared" si="2"/>
        <v>0</v>
      </c>
      <c r="R20" s="50">
        <f t="shared" si="3"/>
        <v>0</v>
      </c>
    </row>
    <row r="21" spans="1:39" s="52" customFormat="1" ht="18" customHeight="1">
      <c r="A21" s="66" t="s">
        <v>58</v>
      </c>
      <c r="B21" s="67" t="s">
        <v>272</v>
      </c>
      <c r="C21" s="61">
        <f t="shared" si="5"/>
        <v>5</v>
      </c>
      <c r="D21" s="61">
        <f t="shared" si="6"/>
        <v>12380</v>
      </c>
      <c r="E21" s="61">
        <f t="shared" si="7"/>
        <v>5</v>
      </c>
      <c r="F21" s="61">
        <f t="shared" si="8"/>
        <v>12380</v>
      </c>
      <c r="G21" s="62">
        <v>5</v>
      </c>
      <c r="H21" s="62">
        <v>12380</v>
      </c>
      <c r="I21" s="62">
        <v>5</v>
      </c>
      <c r="J21" s="62">
        <v>12380</v>
      </c>
      <c r="K21" s="62">
        <v>0</v>
      </c>
      <c r="L21" s="62">
        <v>0</v>
      </c>
      <c r="M21" s="62">
        <v>0</v>
      </c>
      <c r="N21" s="62">
        <v>0</v>
      </c>
      <c r="O21" s="50">
        <f>'[5]M6 Tong hop Viec CHV '!$K$71</f>
        <v>5</v>
      </c>
      <c r="P21" s="51">
        <f>'[5]M7 Thop tien CHV'!$K$60</f>
        <v>12380</v>
      </c>
      <c r="Q21" s="50">
        <f t="shared" si="2"/>
        <v>0</v>
      </c>
      <c r="R21" s="50">
        <f t="shared" si="3"/>
        <v>0</v>
      </c>
      <c r="AJ21" s="52" t="s">
        <v>273</v>
      </c>
      <c r="AK21" s="52" t="s">
        <v>274</v>
      </c>
      <c r="AL21" s="52" t="s">
        <v>275</v>
      </c>
      <c r="AM21" s="63" t="s">
        <v>276</v>
      </c>
    </row>
    <row r="22" spans="1:39" s="52" customFormat="1" ht="18" customHeight="1">
      <c r="A22" s="66" t="s">
        <v>59</v>
      </c>
      <c r="B22" s="67" t="s">
        <v>277</v>
      </c>
      <c r="C22" s="61">
        <f t="shared" si="5"/>
        <v>4</v>
      </c>
      <c r="D22" s="61">
        <f t="shared" si="6"/>
        <v>22507</v>
      </c>
      <c r="E22" s="61">
        <f t="shared" si="7"/>
        <v>4</v>
      </c>
      <c r="F22" s="61">
        <f t="shared" si="8"/>
        <v>22507</v>
      </c>
      <c r="G22" s="62">
        <v>4</v>
      </c>
      <c r="H22" s="62">
        <v>22507</v>
      </c>
      <c r="I22" s="62">
        <v>4</v>
      </c>
      <c r="J22" s="62">
        <v>22507</v>
      </c>
      <c r="K22" s="62">
        <v>0</v>
      </c>
      <c r="L22" s="62">
        <v>0</v>
      </c>
      <c r="M22" s="62">
        <v>0</v>
      </c>
      <c r="N22" s="62">
        <v>0</v>
      </c>
      <c r="O22" s="50">
        <f>'[5]M6 Tong hop Viec CHV '!$K$78</f>
        <v>4</v>
      </c>
      <c r="P22" s="51">
        <f>'[5]M7 Thop tien CHV'!$K$65</f>
        <v>22507</v>
      </c>
      <c r="Q22" s="50">
        <f t="shared" si="2"/>
        <v>0</v>
      </c>
      <c r="R22" s="50">
        <f t="shared" si="3"/>
        <v>0</v>
      </c>
      <c r="AM22" s="63" t="s">
        <v>278</v>
      </c>
    </row>
    <row r="23" spans="1:18" s="52" customFormat="1" ht="18" customHeight="1">
      <c r="A23" s="66" t="s">
        <v>60</v>
      </c>
      <c r="B23" s="67" t="s">
        <v>279</v>
      </c>
      <c r="C23" s="61">
        <f t="shared" si="5"/>
        <v>3</v>
      </c>
      <c r="D23" s="61">
        <f t="shared" si="6"/>
        <v>7826</v>
      </c>
      <c r="E23" s="61">
        <f t="shared" si="7"/>
        <v>2</v>
      </c>
      <c r="F23" s="61">
        <f t="shared" si="8"/>
        <v>3326</v>
      </c>
      <c r="G23" s="62">
        <v>3</v>
      </c>
      <c r="H23" s="62">
        <v>7826</v>
      </c>
      <c r="I23" s="62">
        <v>2</v>
      </c>
      <c r="J23" s="62">
        <v>3326</v>
      </c>
      <c r="K23" s="62">
        <v>0</v>
      </c>
      <c r="L23" s="62">
        <v>0</v>
      </c>
      <c r="M23" s="62">
        <v>0</v>
      </c>
      <c r="N23" s="62">
        <v>0</v>
      </c>
      <c r="O23" s="50">
        <f>'[5]M6 Tong hop Viec CHV '!$K$84</f>
        <v>2</v>
      </c>
      <c r="P23" s="51">
        <f>'[5]M7 Thop tien CHV'!$K$69</f>
        <v>3326</v>
      </c>
      <c r="Q23" s="50">
        <f t="shared" si="2"/>
        <v>0</v>
      </c>
      <c r="R23" s="50">
        <f t="shared" si="3"/>
        <v>0</v>
      </c>
    </row>
    <row r="24" spans="1:36" s="52" customFormat="1" ht="18" customHeight="1">
      <c r="A24" s="66" t="s">
        <v>61</v>
      </c>
      <c r="B24" s="67" t="s">
        <v>280</v>
      </c>
      <c r="C24" s="61">
        <f t="shared" si="5"/>
        <v>0</v>
      </c>
      <c r="D24" s="61">
        <f t="shared" si="6"/>
        <v>0</v>
      </c>
      <c r="E24" s="61">
        <f t="shared" si="7"/>
        <v>0</v>
      </c>
      <c r="F24" s="61">
        <f t="shared" si="8"/>
        <v>0</v>
      </c>
      <c r="G24" s="62">
        <v>0</v>
      </c>
      <c r="H24" s="62">
        <v>0</v>
      </c>
      <c r="I24" s="62">
        <v>0</v>
      </c>
      <c r="J24" s="62">
        <v>0</v>
      </c>
      <c r="K24" s="62">
        <v>0</v>
      </c>
      <c r="L24" s="62">
        <v>0</v>
      </c>
      <c r="M24" s="62">
        <v>0</v>
      </c>
      <c r="N24" s="62">
        <v>0</v>
      </c>
      <c r="O24" s="50">
        <f>'[4]M6 Tong hop Viec CHV '!$K$75</f>
        <v>0</v>
      </c>
      <c r="P24" s="51">
        <f>'[4]M7 Thop tien CHV'!$K$74</f>
        <v>0</v>
      </c>
      <c r="Q24" s="50">
        <f t="shared" si="2"/>
        <v>0</v>
      </c>
      <c r="R24" s="50">
        <f t="shared" si="3"/>
        <v>0</v>
      </c>
      <c r="AJ24" s="52" t="s">
        <v>273</v>
      </c>
    </row>
    <row r="25" spans="1:36" s="52" customFormat="1" ht="18" customHeight="1">
      <c r="A25" s="66" t="s">
        <v>81</v>
      </c>
      <c r="B25" s="67" t="s">
        <v>281</v>
      </c>
      <c r="C25" s="61">
        <f t="shared" si="5"/>
        <v>1</v>
      </c>
      <c r="D25" s="61">
        <f t="shared" si="6"/>
        <v>4300</v>
      </c>
      <c r="E25" s="61">
        <f t="shared" si="7"/>
        <v>0</v>
      </c>
      <c r="F25" s="61">
        <f t="shared" si="8"/>
        <v>4300</v>
      </c>
      <c r="G25" s="62">
        <v>0</v>
      </c>
      <c r="H25" s="62">
        <v>0</v>
      </c>
      <c r="I25" s="62">
        <v>0</v>
      </c>
      <c r="J25" s="62"/>
      <c r="K25" s="62">
        <v>1</v>
      </c>
      <c r="L25" s="62">
        <v>4300</v>
      </c>
      <c r="M25" s="62">
        <v>0</v>
      </c>
      <c r="N25" s="62">
        <v>4300</v>
      </c>
      <c r="O25" s="50">
        <f>'[5]M6 Tong hop Viec CHV '!$K$99</f>
        <v>0</v>
      </c>
      <c r="P25" s="51">
        <f>'[5]M7 Thop tien CHV'!$K$80</f>
        <v>4300</v>
      </c>
      <c r="Q25" s="50">
        <f t="shared" si="2"/>
        <v>0</v>
      </c>
      <c r="R25" s="50">
        <f t="shared" si="3"/>
        <v>0</v>
      </c>
      <c r="AJ25" s="63" t="s">
        <v>282</v>
      </c>
    </row>
    <row r="26" spans="1:44" s="52" customFormat="1" ht="18" customHeight="1">
      <c r="A26" s="66" t="s">
        <v>82</v>
      </c>
      <c r="B26" s="67" t="s">
        <v>283</v>
      </c>
      <c r="C26" s="61">
        <f t="shared" si="5"/>
        <v>3</v>
      </c>
      <c r="D26" s="61">
        <f t="shared" si="6"/>
        <v>42109</v>
      </c>
      <c r="E26" s="61">
        <f t="shared" si="7"/>
        <v>1</v>
      </c>
      <c r="F26" s="61">
        <f t="shared" si="8"/>
        <v>18249</v>
      </c>
      <c r="G26" s="69">
        <v>2</v>
      </c>
      <c r="H26" s="69">
        <v>14749</v>
      </c>
      <c r="I26" s="69">
        <v>1</v>
      </c>
      <c r="J26" s="69">
        <v>14749</v>
      </c>
      <c r="K26" s="69">
        <v>1</v>
      </c>
      <c r="L26" s="69">
        <v>27360</v>
      </c>
      <c r="M26" s="69"/>
      <c r="N26" s="69">
        <v>3500</v>
      </c>
      <c r="O26" s="72">
        <f>'[5]M6 Tong hop Viec CHV '!$K$106</f>
        <v>1</v>
      </c>
      <c r="P26" s="51">
        <f>'[5]M7 Thop tien CHV'!$K$85</f>
        <v>18249</v>
      </c>
      <c r="Q26" s="50">
        <f t="shared" si="2"/>
        <v>0</v>
      </c>
      <c r="R26" s="50">
        <f t="shared" si="3"/>
        <v>0</v>
      </c>
      <c r="AR26" s="63"/>
    </row>
    <row r="27" spans="7:14" ht="8.25" customHeight="1">
      <c r="G27" s="2"/>
      <c r="H27" s="2"/>
      <c r="I27" s="2"/>
      <c r="J27" s="2"/>
      <c r="K27" s="3"/>
      <c r="L27" s="3"/>
      <c r="M27" s="3"/>
      <c r="N27" s="3"/>
    </row>
    <row r="28" spans="1:35" s="78" customFormat="1" ht="19.5" customHeight="1">
      <c r="A28" s="33"/>
      <c r="B28" s="647" t="s">
        <v>369</v>
      </c>
      <c r="C28" s="647"/>
      <c r="D28" s="647"/>
      <c r="E28" s="647"/>
      <c r="F28" s="75"/>
      <c r="G28" s="76"/>
      <c r="H28" s="76"/>
      <c r="I28" s="76"/>
      <c r="J28" s="647" t="s">
        <v>370</v>
      </c>
      <c r="K28" s="647"/>
      <c r="L28" s="647"/>
      <c r="M28" s="647"/>
      <c r="N28" s="647"/>
      <c r="O28" s="77"/>
      <c r="P28" s="77"/>
      <c r="AG28" s="78" t="s">
        <v>285</v>
      </c>
      <c r="AI28" s="79">
        <f>82/88</f>
        <v>0.9318181818181818</v>
      </c>
    </row>
    <row r="29" spans="1:16" s="85" customFormat="1" ht="19.5" customHeight="1">
      <c r="A29" s="80"/>
      <c r="B29" s="622" t="s">
        <v>35</v>
      </c>
      <c r="C29" s="622"/>
      <c r="D29" s="622"/>
      <c r="E29" s="622"/>
      <c r="F29" s="82"/>
      <c r="G29" s="83"/>
      <c r="H29" s="83"/>
      <c r="I29" s="83"/>
      <c r="J29" s="622" t="s">
        <v>286</v>
      </c>
      <c r="K29" s="622"/>
      <c r="L29" s="622"/>
      <c r="M29" s="622"/>
      <c r="N29" s="622"/>
      <c r="O29" s="84"/>
      <c r="P29" s="84"/>
    </row>
    <row r="30" spans="1:16" s="85" customFormat="1" ht="19.5" customHeight="1">
      <c r="A30" s="80"/>
      <c r="B30" s="620"/>
      <c r="C30" s="620"/>
      <c r="D30" s="620"/>
      <c r="E30" s="82"/>
      <c r="F30" s="82"/>
      <c r="G30" s="83"/>
      <c r="H30" s="83"/>
      <c r="I30" s="83"/>
      <c r="J30" s="621"/>
      <c r="K30" s="621"/>
      <c r="L30" s="621"/>
      <c r="M30" s="621"/>
      <c r="N30" s="621"/>
      <c r="O30" s="84"/>
      <c r="P30" s="84"/>
    </row>
    <row r="31" spans="1:16" s="85" customFormat="1" ht="8.25" customHeight="1">
      <c r="A31" s="80"/>
      <c r="B31" s="86"/>
      <c r="C31" s="86" t="s">
        <v>83</v>
      </c>
      <c r="D31" s="86"/>
      <c r="E31" s="87"/>
      <c r="F31" s="87"/>
      <c r="G31" s="88"/>
      <c r="H31" s="88"/>
      <c r="I31" s="88"/>
      <c r="J31" s="86"/>
      <c r="K31" s="86"/>
      <c r="L31" s="86"/>
      <c r="M31" s="86"/>
      <c r="N31" s="86"/>
      <c r="O31" s="84"/>
      <c r="P31" s="84"/>
    </row>
    <row r="32" spans="1:16" s="85" customFormat="1" ht="9" customHeight="1">
      <c r="A32" s="80"/>
      <c r="B32" s="624" t="s">
        <v>287</v>
      </c>
      <c r="C32" s="624"/>
      <c r="D32" s="624"/>
      <c r="E32" s="624"/>
      <c r="F32" s="87"/>
      <c r="G32" s="88"/>
      <c r="H32" s="88"/>
      <c r="I32" s="88"/>
      <c r="J32" s="623" t="s">
        <v>287</v>
      </c>
      <c r="K32" s="623"/>
      <c r="L32" s="623"/>
      <c r="M32" s="623"/>
      <c r="N32" s="623"/>
      <c r="O32" s="84"/>
      <c r="P32" s="84"/>
    </row>
    <row r="33" spans="1:16" s="85" customFormat="1" ht="19.5" customHeight="1">
      <c r="A33" s="80"/>
      <c r="B33" s="622" t="s">
        <v>288</v>
      </c>
      <c r="C33" s="622"/>
      <c r="D33" s="622"/>
      <c r="E33" s="622"/>
      <c r="F33" s="82"/>
      <c r="G33" s="83"/>
      <c r="H33" s="83"/>
      <c r="I33" s="83"/>
      <c r="J33" s="81"/>
      <c r="K33" s="622" t="s">
        <v>288</v>
      </c>
      <c r="L33" s="622"/>
      <c r="M33" s="622"/>
      <c r="N33" s="81"/>
      <c r="O33" s="84"/>
      <c r="P33" s="84"/>
    </row>
    <row r="34" spans="1:16" s="85" customFormat="1" ht="19.5" customHeight="1">
      <c r="A34" s="80"/>
      <c r="B34" s="81"/>
      <c r="C34" s="81"/>
      <c r="D34" s="81"/>
      <c r="E34" s="82"/>
      <c r="F34" s="82"/>
      <c r="G34" s="83"/>
      <c r="H34" s="83"/>
      <c r="I34" s="83"/>
      <c r="J34" s="81"/>
      <c r="K34" s="81"/>
      <c r="L34" s="81"/>
      <c r="M34" s="81"/>
      <c r="N34" s="81"/>
      <c r="O34" s="84"/>
      <c r="P34" s="84"/>
    </row>
    <row r="35" spans="2:14" ht="18.75" hidden="1">
      <c r="B35" s="89"/>
      <c r="C35" s="90"/>
      <c r="D35" s="90"/>
      <c r="E35" s="90"/>
      <c r="F35" s="90"/>
      <c r="G35" s="91"/>
      <c r="H35" s="91"/>
      <c r="I35" s="91"/>
      <c r="J35" s="91"/>
      <c r="K35" s="91"/>
      <c r="L35" s="91"/>
      <c r="M35" s="91"/>
      <c r="N35" s="89"/>
    </row>
    <row r="36" spans="2:19" ht="19.5" customHeight="1">
      <c r="B36" s="650" t="s">
        <v>241</v>
      </c>
      <c r="C36" s="650"/>
      <c r="D36" s="650"/>
      <c r="E36" s="650"/>
      <c r="F36" s="91"/>
      <c r="G36" s="91"/>
      <c r="H36" s="91"/>
      <c r="I36" s="91"/>
      <c r="J36" s="651" t="s">
        <v>242</v>
      </c>
      <c r="K36" s="651"/>
      <c r="L36" s="651"/>
      <c r="M36" s="651"/>
      <c r="N36" s="651"/>
      <c r="O36" s="94"/>
      <c r="P36" s="94"/>
      <c r="Q36" s="95"/>
      <c r="R36" s="95"/>
      <c r="S36" s="95"/>
    </row>
    <row r="37" spans="2:14" ht="18.75">
      <c r="B37" s="96"/>
      <c r="C37" s="90"/>
      <c r="D37" s="90"/>
      <c r="E37" s="90"/>
      <c r="F37" s="90"/>
      <c r="G37" s="89"/>
      <c r="H37" s="89"/>
      <c r="I37" s="89"/>
      <c r="J37" s="89"/>
      <c r="K37" s="89"/>
      <c r="L37" s="89"/>
      <c r="M37" s="89"/>
      <c r="N37" s="89"/>
    </row>
    <row r="38" spans="2:11" ht="15.75">
      <c r="B38" s="42"/>
      <c r="C38" s="42"/>
      <c r="D38" s="42"/>
      <c r="E38" s="42"/>
      <c r="F38" s="42"/>
      <c r="G38" s="97"/>
      <c r="H38" s="97"/>
      <c r="I38" s="97"/>
      <c r="J38" s="97"/>
      <c r="K38" s="42"/>
    </row>
    <row r="39" spans="2:11" ht="15.75">
      <c r="B39" s="42"/>
      <c r="C39" s="42"/>
      <c r="D39" s="42"/>
      <c r="E39" s="42"/>
      <c r="F39" s="42"/>
      <c r="G39" s="97"/>
      <c r="H39" s="97"/>
      <c r="I39" s="97"/>
      <c r="J39" s="97"/>
      <c r="K39" s="42"/>
    </row>
    <row r="40" spans="2:11" ht="15.75">
      <c r="B40" s="42"/>
      <c r="C40" s="42"/>
      <c r="D40" s="42"/>
      <c r="E40" s="42"/>
      <c r="F40" s="42"/>
      <c r="G40" s="97"/>
      <c r="H40" s="97"/>
      <c r="I40" s="97"/>
      <c r="J40" s="97"/>
      <c r="K40" s="42"/>
    </row>
    <row r="41" spans="2:11" ht="15.75">
      <c r="B41" s="42"/>
      <c r="C41" s="42"/>
      <c r="D41" s="42"/>
      <c r="E41" s="42"/>
      <c r="F41" s="42"/>
      <c r="G41" s="97"/>
      <c r="H41" s="97"/>
      <c r="I41" s="97"/>
      <c r="J41" s="97"/>
      <c r="K41" s="42"/>
    </row>
    <row r="42" spans="7:10" ht="15.75">
      <c r="G42" s="97"/>
      <c r="H42" s="97"/>
      <c r="I42" s="97"/>
      <c r="J42" s="97"/>
    </row>
    <row r="43" spans="7:10" ht="15.75">
      <c r="G43" s="97"/>
      <c r="H43" s="97"/>
      <c r="I43" s="97"/>
      <c r="J43" s="97"/>
    </row>
    <row r="44" spans="7:10" ht="15.75">
      <c r="G44" s="97"/>
      <c r="H44" s="97"/>
      <c r="I44" s="97"/>
      <c r="J44" s="97"/>
    </row>
    <row r="45" spans="7:10" ht="15.75">
      <c r="G45" s="97"/>
      <c r="H45" s="97"/>
      <c r="I45" s="97"/>
      <c r="J45" s="97"/>
    </row>
  </sheetData>
  <sheetProtection/>
  <mergeCells count="42">
    <mergeCell ref="B36:E36"/>
    <mergeCell ref="J36:N36"/>
    <mergeCell ref="B29:E29"/>
    <mergeCell ref="E8:F8"/>
    <mergeCell ref="G8:H8"/>
    <mergeCell ref="C8:D8"/>
    <mergeCell ref="A11:B11"/>
    <mergeCell ref="A12:B12"/>
    <mergeCell ref="A10:B10"/>
    <mergeCell ref="A6:B9"/>
    <mergeCell ref="A13:B13"/>
    <mergeCell ref="B28:E28"/>
    <mergeCell ref="K7:N7"/>
    <mergeCell ref="I8:J8"/>
    <mergeCell ref="M8:N8"/>
    <mergeCell ref="G7:J7"/>
    <mergeCell ref="J28:N28"/>
    <mergeCell ref="K8:L8"/>
    <mergeCell ref="J29:N29"/>
    <mergeCell ref="E1:K2"/>
    <mergeCell ref="A1:D1"/>
    <mergeCell ref="E3:J3"/>
    <mergeCell ref="A3:D3"/>
    <mergeCell ref="L4:N4"/>
    <mergeCell ref="A2:D2"/>
    <mergeCell ref="L2:N2"/>
    <mergeCell ref="L3:N3"/>
    <mergeCell ref="A4:D4"/>
    <mergeCell ref="O6:R6"/>
    <mergeCell ref="D5:K5"/>
    <mergeCell ref="C6:F7"/>
    <mergeCell ref="G6:N6"/>
    <mergeCell ref="R7:R9"/>
    <mergeCell ref="Q7:Q9"/>
    <mergeCell ref="O8:O9"/>
    <mergeCell ref="P8:P9"/>
    <mergeCell ref="B30:D30"/>
    <mergeCell ref="J30:N30"/>
    <mergeCell ref="B33:E33"/>
    <mergeCell ref="K33:M33"/>
    <mergeCell ref="J32:N32"/>
    <mergeCell ref="B32:E32"/>
  </mergeCells>
  <printOptions/>
  <pageMargins left="0.55" right="0.18" top="0.23" bottom="0.25" header="0.1" footer="0.08"/>
  <pageSetup horizontalDpi="600" verticalDpi="600" orientation="landscape" paperSize="9" scale="90" r:id="rId4"/>
  <drawing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73" customWidth="1"/>
    <col min="2" max="2" width="21.125" style="73" customWidth="1"/>
    <col min="3" max="3" width="10.25390625" style="73" customWidth="1"/>
    <col min="4" max="6" width="7.875" style="73" customWidth="1"/>
    <col min="7" max="7" width="9.25390625" style="73" customWidth="1"/>
    <col min="8" max="8" width="7.25390625" style="73" customWidth="1"/>
    <col min="9" max="10" width="7.875" style="73" customWidth="1"/>
    <col min="11" max="11" width="7.125" style="73" customWidth="1"/>
    <col min="12" max="12" width="7.00390625" style="73" customWidth="1"/>
    <col min="13" max="13" width="7.875" style="73" customWidth="1"/>
    <col min="14" max="14" width="10.25390625" style="73" customWidth="1"/>
    <col min="15" max="16" width="7.875" style="73" customWidth="1"/>
    <col min="17" max="28" width="9.00390625" style="73" customWidth="1"/>
    <col min="29" max="29" width="8.375" style="73" customWidth="1"/>
    <col min="30" max="30" width="9.00390625" style="73" customWidth="1"/>
    <col min="31" max="31" width="11.25390625" style="73" customWidth="1"/>
    <col min="32" max="32" width="13.50390625" style="73" customWidth="1"/>
    <col min="33" max="16384" width="9.00390625" style="73" customWidth="1"/>
  </cols>
  <sheetData>
    <row r="1" spans="1:16" s="42" customFormat="1" ht="19.5" customHeight="1">
      <c r="A1" s="662" t="s">
        <v>26</v>
      </c>
      <c r="B1" s="662"/>
      <c r="C1" s="98"/>
      <c r="D1" s="669" t="s">
        <v>348</v>
      </c>
      <c r="E1" s="669"/>
      <c r="F1" s="669"/>
      <c r="G1" s="669"/>
      <c r="H1" s="669"/>
      <c r="I1" s="669"/>
      <c r="J1" s="669"/>
      <c r="K1" s="669"/>
      <c r="L1" s="669"/>
      <c r="M1" s="687" t="s">
        <v>289</v>
      </c>
      <c r="N1" s="688"/>
      <c r="O1" s="688"/>
      <c r="P1" s="688"/>
    </row>
    <row r="2" spans="1:16" s="42" customFormat="1" ht="34.5" customHeight="1">
      <c r="A2" s="668" t="s">
        <v>290</v>
      </c>
      <c r="B2" s="668"/>
      <c r="C2" s="668"/>
      <c r="D2" s="669"/>
      <c r="E2" s="669"/>
      <c r="F2" s="669"/>
      <c r="G2" s="669"/>
      <c r="H2" s="669"/>
      <c r="I2" s="669"/>
      <c r="J2" s="669"/>
      <c r="K2" s="669"/>
      <c r="L2" s="669"/>
      <c r="M2" s="689" t="s">
        <v>349</v>
      </c>
      <c r="N2" s="690"/>
      <c r="O2" s="690"/>
      <c r="P2" s="690"/>
    </row>
    <row r="3" spans="1:16" s="42" customFormat="1" ht="19.5" customHeight="1">
      <c r="A3" s="667" t="s">
        <v>291</v>
      </c>
      <c r="B3" s="667"/>
      <c r="C3" s="667"/>
      <c r="D3" s="669"/>
      <c r="E3" s="669"/>
      <c r="F3" s="669"/>
      <c r="G3" s="669"/>
      <c r="H3" s="669"/>
      <c r="I3" s="669"/>
      <c r="J3" s="669"/>
      <c r="K3" s="669"/>
      <c r="L3" s="669"/>
      <c r="M3" s="689" t="s">
        <v>292</v>
      </c>
      <c r="N3" s="690"/>
      <c r="O3" s="690"/>
      <c r="P3" s="690"/>
    </row>
    <row r="4" spans="1:16" s="103" customFormat="1" ht="18.75" customHeight="1">
      <c r="A4" s="99"/>
      <c r="B4" s="99"/>
      <c r="C4" s="100"/>
      <c r="D4" s="628"/>
      <c r="E4" s="628"/>
      <c r="F4" s="628"/>
      <c r="G4" s="628"/>
      <c r="H4" s="628"/>
      <c r="I4" s="628"/>
      <c r="J4" s="628"/>
      <c r="K4" s="628"/>
      <c r="L4" s="628"/>
      <c r="M4" s="101" t="s">
        <v>293</v>
      </c>
      <c r="N4" s="102"/>
      <c r="O4" s="102"/>
      <c r="P4" s="102"/>
    </row>
    <row r="5" spans="1:16" ht="49.5" customHeight="1">
      <c r="A5" s="674" t="s">
        <v>55</v>
      </c>
      <c r="B5" s="675"/>
      <c r="C5" s="664" t="s">
        <v>80</v>
      </c>
      <c r="D5" s="665"/>
      <c r="E5" s="665"/>
      <c r="F5" s="665"/>
      <c r="G5" s="665"/>
      <c r="H5" s="665"/>
      <c r="I5" s="665"/>
      <c r="J5" s="665"/>
      <c r="K5" s="663" t="s">
        <v>79</v>
      </c>
      <c r="L5" s="663"/>
      <c r="M5" s="663"/>
      <c r="N5" s="663"/>
      <c r="O5" s="663"/>
      <c r="P5" s="663"/>
    </row>
    <row r="6" spans="1:16" ht="20.25" customHeight="1">
      <c r="A6" s="676"/>
      <c r="B6" s="677"/>
      <c r="C6" s="664" t="s">
        <v>3</v>
      </c>
      <c r="D6" s="665"/>
      <c r="E6" s="665"/>
      <c r="F6" s="666"/>
      <c r="G6" s="663" t="s">
        <v>9</v>
      </c>
      <c r="H6" s="663"/>
      <c r="I6" s="663"/>
      <c r="J6" s="663"/>
      <c r="K6" s="691" t="s">
        <v>3</v>
      </c>
      <c r="L6" s="691"/>
      <c r="M6" s="691"/>
      <c r="N6" s="686" t="s">
        <v>9</v>
      </c>
      <c r="O6" s="686"/>
      <c r="P6" s="686"/>
    </row>
    <row r="7" spans="1:16" ht="52.5" customHeight="1">
      <c r="A7" s="676"/>
      <c r="B7" s="677"/>
      <c r="C7" s="680" t="s">
        <v>294</v>
      </c>
      <c r="D7" s="665" t="s">
        <v>76</v>
      </c>
      <c r="E7" s="665"/>
      <c r="F7" s="666"/>
      <c r="G7" s="663" t="s">
        <v>295</v>
      </c>
      <c r="H7" s="663" t="s">
        <v>76</v>
      </c>
      <c r="I7" s="663"/>
      <c r="J7" s="663"/>
      <c r="K7" s="663" t="s">
        <v>32</v>
      </c>
      <c r="L7" s="663" t="s">
        <v>77</v>
      </c>
      <c r="M7" s="663"/>
      <c r="N7" s="663" t="s">
        <v>62</v>
      </c>
      <c r="O7" s="663" t="s">
        <v>77</v>
      </c>
      <c r="P7" s="663"/>
    </row>
    <row r="8" spans="1:16" ht="15.75" customHeight="1">
      <c r="A8" s="676"/>
      <c r="B8" s="677"/>
      <c r="C8" s="680"/>
      <c r="D8" s="663" t="s">
        <v>36</v>
      </c>
      <c r="E8" s="663" t="s">
        <v>37</v>
      </c>
      <c r="F8" s="663" t="s">
        <v>40</v>
      </c>
      <c r="G8" s="663"/>
      <c r="H8" s="663" t="s">
        <v>36</v>
      </c>
      <c r="I8" s="663" t="s">
        <v>37</v>
      </c>
      <c r="J8" s="663" t="s">
        <v>40</v>
      </c>
      <c r="K8" s="663"/>
      <c r="L8" s="663" t="s">
        <v>14</v>
      </c>
      <c r="M8" s="663" t="s">
        <v>13</v>
      </c>
      <c r="N8" s="663"/>
      <c r="O8" s="663" t="s">
        <v>14</v>
      </c>
      <c r="P8" s="663" t="s">
        <v>13</v>
      </c>
    </row>
    <row r="9" spans="1:16" ht="44.25" customHeight="1">
      <c r="A9" s="678"/>
      <c r="B9" s="679"/>
      <c r="C9" s="681"/>
      <c r="D9" s="663"/>
      <c r="E9" s="663"/>
      <c r="F9" s="663"/>
      <c r="G9" s="663"/>
      <c r="H9" s="663"/>
      <c r="I9" s="663"/>
      <c r="J9" s="663"/>
      <c r="K9" s="663"/>
      <c r="L9" s="663"/>
      <c r="M9" s="663"/>
      <c r="N9" s="663"/>
      <c r="O9" s="663"/>
      <c r="P9" s="663"/>
    </row>
    <row r="10" spans="1:16" ht="15" customHeight="1">
      <c r="A10" s="672" t="s">
        <v>6</v>
      </c>
      <c r="B10" s="673"/>
      <c r="C10" s="105">
        <v>1</v>
      </c>
      <c r="D10" s="105" t="s">
        <v>44</v>
      </c>
      <c r="E10" s="105" t="s">
        <v>47</v>
      </c>
      <c r="F10" s="105" t="s">
        <v>56</v>
      </c>
      <c r="G10" s="105" t="s">
        <v>57</v>
      </c>
      <c r="H10" s="105" t="s">
        <v>58</v>
      </c>
      <c r="I10" s="105" t="s">
        <v>59</v>
      </c>
      <c r="J10" s="105" t="s">
        <v>60</v>
      </c>
      <c r="K10" s="105" t="s">
        <v>61</v>
      </c>
      <c r="L10" s="105" t="s">
        <v>81</v>
      </c>
      <c r="M10" s="105" t="s">
        <v>82</v>
      </c>
      <c r="N10" s="105" t="s">
        <v>83</v>
      </c>
      <c r="O10" s="105" t="s">
        <v>84</v>
      </c>
      <c r="P10" s="105" t="s">
        <v>85</v>
      </c>
    </row>
    <row r="11" spans="1:16" ht="15" customHeight="1">
      <c r="A11" s="684" t="s">
        <v>296</v>
      </c>
      <c r="B11" s="685"/>
      <c r="C11" s="106">
        <f aca="true" t="shared" si="0" ref="C11:P11">C13-C12</f>
        <v>0</v>
      </c>
      <c r="D11" s="106">
        <f t="shared" si="0"/>
        <v>0</v>
      </c>
      <c r="E11" s="106">
        <f t="shared" si="0"/>
        <v>0</v>
      </c>
      <c r="F11" s="106">
        <f t="shared" si="0"/>
        <v>0</v>
      </c>
      <c r="G11" s="106">
        <f t="shared" si="0"/>
        <v>0</v>
      </c>
      <c r="H11" s="106">
        <f t="shared" si="0"/>
        <v>0</v>
      </c>
      <c r="I11" s="106">
        <f t="shared" si="0"/>
        <v>0</v>
      </c>
      <c r="J11" s="106">
        <f t="shared" si="0"/>
        <v>0</v>
      </c>
      <c r="K11" s="106">
        <f t="shared" si="0"/>
        <v>0</v>
      </c>
      <c r="L11" s="106">
        <f t="shared" si="0"/>
        <v>0</v>
      </c>
      <c r="M11" s="106">
        <f t="shared" si="0"/>
        <v>0</v>
      </c>
      <c r="N11" s="106">
        <f t="shared" si="0"/>
        <v>0</v>
      </c>
      <c r="O11" s="106">
        <f t="shared" si="0"/>
        <v>0</v>
      </c>
      <c r="P11" s="106">
        <f t="shared" si="0"/>
        <v>0</v>
      </c>
    </row>
    <row r="12" spans="1:16" ht="15" customHeight="1">
      <c r="A12" s="682" t="s">
        <v>297</v>
      </c>
      <c r="B12" s="683"/>
      <c r="C12" s="107">
        <v>0</v>
      </c>
      <c r="D12" s="107">
        <v>0</v>
      </c>
      <c r="E12" s="107">
        <v>0</v>
      </c>
      <c r="F12" s="107">
        <v>0</v>
      </c>
      <c r="G12" s="107">
        <v>0</v>
      </c>
      <c r="H12" s="107">
        <v>0</v>
      </c>
      <c r="I12" s="107">
        <v>0</v>
      </c>
      <c r="J12" s="107">
        <v>0</v>
      </c>
      <c r="K12" s="107">
        <v>0</v>
      </c>
      <c r="L12" s="107">
        <v>0</v>
      </c>
      <c r="M12" s="107">
        <v>0</v>
      </c>
      <c r="N12" s="107">
        <v>0</v>
      </c>
      <c r="O12" s="107">
        <v>0</v>
      </c>
      <c r="P12" s="107">
        <v>0</v>
      </c>
    </row>
    <row r="13" spans="1:32" ht="15" customHeight="1">
      <c r="A13" s="670" t="s">
        <v>33</v>
      </c>
      <c r="B13" s="671"/>
      <c r="C13" s="108">
        <f>D13+E13+F13</f>
        <v>0</v>
      </c>
      <c r="D13" s="108">
        <f>D14+D15</f>
        <v>0</v>
      </c>
      <c r="E13" s="108">
        <f>E14+E15</f>
        <v>0</v>
      </c>
      <c r="F13" s="108">
        <f>F14+F15</f>
        <v>0</v>
      </c>
      <c r="G13" s="108">
        <f aca="true" t="shared" si="1" ref="G13:G26">H13+I13+J13</f>
        <v>0</v>
      </c>
      <c r="H13" s="108">
        <f>H14+H15</f>
        <v>0</v>
      </c>
      <c r="I13" s="108">
        <f>I14+I15</f>
        <v>0</v>
      </c>
      <c r="J13" s="108">
        <f>J14+J15</f>
        <v>0</v>
      </c>
      <c r="K13" s="108">
        <f aca="true" t="shared" si="2" ref="K13:K26">L13+M13</f>
        <v>0</v>
      </c>
      <c r="L13" s="108">
        <f>L14+L15</f>
        <v>0</v>
      </c>
      <c r="M13" s="108">
        <f>M14+M15</f>
        <v>0</v>
      </c>
      <c r="N13" s="108">
        <f aca="true" t="shared" si="3" ref="N13:N26">O13+P13</f>
        <v>0</v>
      </c>
      <c r="O13" s="108">
        <f>O14+O15</f>
        <v>0</v>
      </c>
      <c r="P13" s="108">
        <f>P14+P15</f>
        <v>0</v>
      </c>
      <c r="AF13" s="73" t="s">
        <v>265</v>
      </c>
    </row>
    <row r="14" spans="1:37" ht="15" customHeight="1">
      <c r="A14" s="109" t="s">
        <v>0</v>
      </c>
      <c r="B14" s="110" t="s">
        <v>78</v>
      </c>
      <c r="C14" s="111">
        <f>C15+C16</f>
        <v>0</v>
      </c>
      <c r="D14" s="112">
        <f>D15+D16</f>
        <v>0</v>
      </c>
      <c r="E14" s="112">
        <v>0</v>
      </c>
      <c r="F14" s="112">
        <v>0</v>
      </c>
      <c r="G14" s="112">
        <f t="shared" si="1"/>
        <v>0</v>
      </c>
      <c r="H14" s="112">
        <v>0</v>
      </c>
      <c r="I14" s="112">
        <v>0</v>
      </c>
      <c r="J14" s="112">
        <v>0</v>
      </c>
      <c r="K14" s="112">
        <f t="shared" si="2"/>
        <v>0</v>
      </c>
      <c r="L14" s="112">
        <v>0</v>
      </c>
      <c r="M14" s="112">
        <v>0</v>
      </c>
      <c r="N14" s="112">
        <f t="shared" si="3"/>
        <v>0</v>
      </c>
      <c r="O14" s="112">
        <v>0</v>
      </c>
      <c r="P14" s="112">
        <v>0</v>
      </c>
      <c r="AK14" s="113"/>
    </row>
    <row r="15" spans="1:16" ht="15" customHeight="1">
      <c r="A15" s="114" t="s">
        <v>1</v>
      </c>
      <c r="B15" s="115" t="s">
        <v>17</v>
      </c>
      <c r="C15" s="111">
        <f aca="true" t="shared" si="4" ref="C15:C26">D15+E15+F15</f>
        <v>0</v>
      </c>
      <c r="D15" s="111">
        <f>D16+D17+D18+D19+D20+D21+D22+D23+D24+D25+D26</f>
        <v>0</v>
      </c>
      <c r="E15" s="111">
        <f>E16+E17+E18+E19+E20+E21+E22+E23+E24+E25+E26</f>
        <v>0</v>
      </c>
      <c r="F15" s="111">
        <f>F16+F17+F18+F19+F20+F21+F22+F23+F24+F25+F26</f>
        <v>0</v>
      </c>
      <c r="G15" s="111">
        <f t="shared" si="1"/>
        <v>0</v>
      </c>
      <c r="H15" s="111">
        <f>H16+H17+H18+H19+H20+H21+H22+H23+H24+H25+H26</f>
        <v>0</v>
      </c>
      <c r="I15" s="111">
        <f>I16+I17+I18+I19+I20+I21+I22+I23+I24+I25+I26</f>
        <v>0</v>
      </c>
      <c r="J15" s="111">
        <f>J16+J17+J18+J19+J20+J21+J22+J23+J24+J25+J26</f>
        <v>0</v>
      </c>
      <c r="K15" s="111">
        <f t="shared" si="2"/>
        <v>0</v>
      </c>
      <c r="L15" s="111">
        <f>L16+L17+L18+L19+L20+L21+L22+L23+L24+L25+L26</f>
        <v>0</v>
      </c>
      <c r="M15" s="111">
        <f>M16+M17+M18+M19+M20+M21+M22+M23+M24+M25+M26</f>
        <v>0</v>
      </c>
      <c r="N15" s="111">
        <f t="shared" si="3"/>
        <v>0</v>
      </c>
      <c r="O15" s="111">
        <f>O16+O17+O18+O19+O20+O21+O22+O23+O24+O25+O26</f>
        <v>0</v>
      </c>
      <c r="P15" s="111">
        <f>P16+P17+P18+P19+P20+P21+P22+P23+P24+P25+P26</f>
        <v>0</v>
      </c>
    </row>
    <row r="16" spans="1:38" s="42" customFormat="1" ht="15" customHeight="1">
      <c r="A16" s="116" t="s">
        <v>43</v>
      </c>
      <c r="B16" s="117" t="s">
        <v>266</v>
      </c>
      <c r="C16" s="111">
        <f t="shared" si="4"/>
        <v>0</v>
      </c>
      <c r="D16" s="118">
        <v>0</v>
      </c>
      <c r="E16" s="118">
        <v>0</v>
      </c>
      <c r="F16" s="118">
        <v>0</v>
      </c>
      <c r="G16" s="118">
        <f t="shared" si="1"/>
        <v>0</v>
      </c>
      <c r="H16" s="118">
        <v>0</v>
      </c>
      <c r="I16" s="118">
        <v>0</v>
      </c>
      <c r="J16" s="118">
        <v>0</v>
      </c>
      <c r="K16" s="118">
        <f t="shared" si="2"/>
        <v>0</v>
      </c>
      <c r="L16" s="118">
        <v>0</v>
      </c>
      <c r="M16" s="118">
        <v>0</v>
      </c>
      <c r="N16" s="118">
        <f t="shared" si="3"/>
        <v>0</v>
      </c>
      <c r="O16" s="118">
        <v>0</v>
      </c>
      <c r="P16" s="118">
        <v>0</v>
      </c>
      <c r="AL16" s="113"/>
    </row>
    <row r="17" spans="1:32" s="42" customFormat="1" ht="15" customHeight="1">
      <c r="A17" s="116" t="s">
        <v>44</v>
      </c>
      <c r="B17" s="119" t="s">
        <v>298</v>
      </c>
      <c r="C17" s="111">
        <f t="shared" si="4"/>
        <v>0</v>
      </c>
      <c r="D17" s="118">
        <v>0</v>
      </c>
      <c r="E17" s="118">
        <v>0</v>
      </c>
      <c r="F17" s="118">
        <v>0</v>
      </c>
      <c r="G17" s="118">
        <f t="shared" si="1"/>
        <v>0</v>
      </c>
      <c r="H17" s="118">
        <v>0</v>
      </c>
      <c r="I17" s="118">
        <v>0</v>
      </c>
      <c r="J17" s="118">
        <v>0</v>
      </c>
      <c r="K17" s="118">
        <f t="shared" si="2"/>
        <v>0</v>
      </c>
      <c r="L17" s="118">
        <v>0</v>
      </c>
      <c r="M17" s="118">
        <v>0</v>
      </c>
      <c r="N17" s="118">
        <f t="shared" si="3"/>
        <v>0</v>
      </c>
      <c r="O17" s="118">
        <v>0</v>
      </c>
      <c r="P17" s="118">
        <v>0</v>
      </c>
      <c r="AF17" s="113" t="s">
        <v>268</v>
      </c>
    </row>
    <row r="18" spans="1:16" s="42" customFormat="1" ht="15" customHeight="1">
      <c r="A18" s="116" t="s">
        <v>47</v>
      </c>
      <c r="B18" s="117" t="s">
        <v>269</v>
      </c>
      <c r="C18" s="111">
        <f t="shared" si="4"/>
        <v>0</v>
      </c>
      <c r="D18" s="118">
        <v>0</v>
      </c>
      <c r="E18" s="118">
        <v>0</v>
      </c>
      <c r="F18" s="118">
        <v>0</v>
      </c>
      <c r="G18" s="118">
        <f t="shared" si="1"/>
        <v>0</v>
      </c>
      <c r="H18" s="118">
        <v>0</v>
      </c>
      <c r="I18" s="118">
        <v>0</v>
      </c>
      <c r="J18" s="118">
        <v>0</v>
      </c>
      <c r="K18" s="118">
        <f t="shared" si="2"/>
        <v>0</v>
      </c>
      <c r="L18" s="118">
        <v>0</v>
      </c>
      <c r="M18" s="118">
        <v>0</v>
      </c>
      <c r="N18" s="118">
        <f t="shared" si="3"/>
        <v>0</v>
      </c>
      <c r="O18" s="118">
        <v>0</v>
      </c>
      <c r="P18" s="118">
        <v>0</v>
      </c>
    </row>
    <row r="19" spans="1:16" s="42" customFormat="1" ht="15" customHeight="1">
      <c r="A19" s="116" t="s">
        <v>56</v>
      </c>
      <c r="B19" s="117" t="s">
        <v>270</v>
      </c>
      <c r="C19" s="111">
        <f t="shared" si="4"/>
        <v>0</v>
      </c>
      <c r="D19" s="118">
        <v>0</v>
      </c>
      <c r="E19" s="118">
        <v>0</v>
      </c>
      <c r="F19" s="118">
        <v>0</v>
      </c>
      <c r="G19" s="118">
        <f t="shared" si="1"/>
        <v>0</v>
      </c>
      <c r="H19" s="118">
        <v>0</v>
      </c>
      <c r="I19" s="118">
        <v>0</v>
      </c>
      <c r="J19" s="118">
        <v>0</v>
      </c>
      <c r="K19" s="118">
        <f t="shared" si="2"/>
        <v>0</v>
      </c>
      <c r="L19" s="118">
        <v>0</v>
      </c>
      <c r="M19" s="118">
        <v>0</v>
      </c>
      <c r="N19" s="118">
        <f t="shared" si="3"/>
        <v>0</v>
      </c>
      <c r="O19" s="118">
        <v>0</v>
      </c>
      <c r="P19" s="118">
        <v>0</v>
      </c>
    </row>
    <row r="20" spans="1:16" s="42" customFormat="1" ht="15" customHeight="1">
      <c r="A20" s="116" t="s">
        <v>57</v>
      </c>
      <c r="B20" s="117" t="s">
        <v>271</v>
      </c>
      <c r="C20" s="111">
        <f t="shared" si="4"/>
        <v>0</v>
      </c>
      <c r="D20" s="118">
        <v>0</v>
      </c>
      <c r="E20" s="118">
        <v>0</v>
      </c>
      <c r="F20" s="118">
        <v>0</v>
      </c>
      <c r="G20" s="118">
        <f t="shared" si="1"/>
        <v>0</v>
      </c>
      <c r="H20" s="118">
        <v>0</v>
      </c>
      <c r="I20" s="118">
        <v>0</v>
      </c>
      <c r="J20" s="118">
        <v>0</v>
      </c>
      <c r="K20" s="118">
        <f t="shared" si="2"/>
        <v>0</v>
      </c>
      <c r="L20" s="118">
        <v>0</v>
      </c>
      <c r="M20" s="118">
        <v>0</v>
      </c>
      <c r="N20" s="118">
        <f t="shared" si="3"/>
        <v>0</v>
      </c>
      <c r="O20" s="118">
        <v>0</v>
      </c>
      <c r="P20" s="118">
        <v>0</v>
      </c>
    </row>
    <row r="21" spans="1:39" s="42" customFormat="1" ht="15" customHeight="1">
      <c r="A21" s="116" t="s">
        <v>58</v>
      </c>
      <c r="B21" s="117" t="s">
        <v>272</v>
      </c>
      <c r="C21" s="111">
        <f t="shared" si="4"/>
        <v>0</v>
      </c>
      <c r="D21" s="118">
        <v>0</v>
      </c>
      <c r="E21" s="118">
        <v>0</v>
      </c>
      <c r="F21" s="118">
        <v>0</v>
      </c>
      <c r="G21" s="118">
        <f t="shared" si="1"/>
        <v>0</v>
      </c>
      <c r="H21" s="118">
        <v>0</v>
      </c>
      <c r="I21" s="118">
        <v>0</v>
      </c>
      <c r="J21" s="118">
        <v>0</v>
      </c>
      <c r="K21" s="118">
        <f t="shared" si="2"/>
        <v>0</v>
      </c>
      <c r="L21" s="118">
        <v>0</v>
      </c>
      <c r="M21" s="118">
        <v>0</v>
      </c>
      <c r="N21" s="118">
        <f t="shared" si="3"/>
        <v>0</v>
      </c>
      <c r="O21" s="118">
        <v>0</v>
      </c>
      <c r="P21" s="118">
        <v>0</v>
      </c>
      <c r="AJ21" s="42" t="s">
        <v>273</v>
      </c>
      <c r="AK21" s="42" t="s">
        <v>274</v>
      </c>
      <c r="AL21" s="42" t="s">
        <v>275</v>
      </c>
      <c r="AM21" s="113" t="s">
        <v>276</v>
      </c>
    </row>
    <row r="22" spans="1:39" s="42" customFormat="1" ht="15" customHeight="1">
      <c r="A22" s="116" t="s">
        <v>59</v>
      </c>
      <c r="B22" s="117" t="s">
        <v>277</v>
      </c>
      <c r="C22" s="111">
        <f t="shared" si="4"/>
        <v>0</v>
      </c>
      <c r="D22" s="118">
        <v>0</v>
      </c>
      <c r="E22" s="118">
        <v>0</v>
      </c>
      <c r="F22" s="118">
        <v>0</v>
      </c>
      <c r="G22" s="118">
        <f t="shared" si="1"/>
        <v>0</v>
      </c>
      <c r="H22" s="118">
        <v>0</v>
      </c>
      <c r="I22" s="118">
        <v>0</v>
      </c>
      <c r="J22" s="118">
        <v>0</v>
      </c>
      <c r="K22" s="118">
        <f t="shared" si="2"/>
        <v>0</v>
      </c>
      <c r="L22" s="118">
        <v>0</v>
      </c>
      <c r="M22" s="118">
        <v>0</v>
      </c>
      <c r="N22" s="118">
        <f t="shared" si="3"/>
        <v>0</v>
      </c>
      <c r="O22" s="118">
        <v>0</v>
      </c>
      <c r="P22" s="118">
        <v>0</v>
      </c>
      <c r="AM22" s="113" t="s">
        <v>278</v>
      </c>
    </row>
    <row r="23" spans="1:16" s="42" customFormat="1" ht="15" customHeight="1">
      <c r="A23" s="116" t="s">
        <v>60</v>
      </c>
      <c r="B23" s="117" t="s">
        <v>279</v>
      </c>
      <c r="C23" s="111">
        <f t="shared" si="4"/>
        <v>0</v>
      </c>
      <c r="D23" s="118">
        <v>0</v>
      </c>
      <c r="E23" s="118">
        <v>0</v>
      </c>
      <c r="F23" s="118">
        <v>0</v>
      </c>
      <c r="G23" s="118">
        <f t="shared" si="1"/>
        <v>0</v>
      </c>
      <c r="H23" s="118">
        <v>0</v>
      </c>
      <c r="I23" s="118">
        <v>0</v>
      </c>
      <c r="J23" s="118">
        <v>0</v>
      </c>
      <c r="K23" s="118">
        <f t="shared" si="2"/>
        <v>0</v>
      </c>
      <c r="L23" s="118">
        <v>0</v>
      </c>
      <c r="M23" s="118">
        <v>0</v>
      </c>
      <c r="N23" s="118">
        <f t="shared" si="3"/>
        <v>0</v>
      </c>
      <c r="O23" s="118">
        <v>0</v>
      </c>
      <c r="P23" s="118">
        <v>0</v>
      </c>
    </row>
    <row r="24" spans="1:36" s="42" customFormat="1" ht="15" customHeight="1">
      <c r="A24" s="116" t="s">
        <v>61</v>
      </c>
      <c r="B24" s="117" t="s">
        <v>280</v>
      </c>
      <c r="C24" s="111">
        <f t="shared" si="4"/>
        <v>0</v>
      </c>
      <c r="D24" s="118">
        <v>0</v>
      </c>
      <c r="E24" s="118">
        <v>0</v>
      </c>
      <c r="F24" s="118">
        <v>0</v>
      </c>
      <c r="G24" s="118">
        <f t="shared" si="1"/>
        <v>0</v>
      </c>
      <c r="H24" s="118">
        <v>0</v>
      </c>
      <c r="I24" s="118">
        <v>0</v>
      </c>
      <c r="J24" s="118">
        <v>0</v>
      </c>
      <c r="K24" s="118">
        <f t="shared" si="2"/>
        <v>0</v>
      </c>
      <c r="L24" s="118">
        <v>0</v>
      </c>
      <c r="M24" s="118">
        <v>0</v>
      </c>
      <c r="N24" s="118">
        <f t="shared" si="3"/>
        <v>0</v>
      </c>
      <c r="O24" s="118">
        <v>0</v>
      </c>
      <c r="P24" s="118">
        <v>0</v>
      </c>
      <c r="AJ24" s="42" t="s">
        <v>273</v>
      </c>
    </row>
    <row r="25" spans="1:36" s="42" customFormat="1" ht="15" customHeight="1">
      <c r="A25" s="116" t="s">
        <v>81</v>
      </c>
      <c r="B25" s="117" t="s">
        <v>281</v>
      </c>
      <c r="C25" s="111">
        <f t="shared" si="4"/>
        <v>0</v>
      </c>
      <c r="D25" s="118">
        <v>0</v>
      </c>
      <c r="E25" s="118">
        <v>0</v>
      </c>
      <c r="F25" s="118">
        <v>0</v>
      </c>
      <c r="G25" s="118">
        <f t="shared" si="1"/>
        <v>0</v>
      </c>
      <c r="H25" s="118">
        <v>0</v>
      </c>
      <c r="I25" s="118">
        <v>0</v>
      </c>
      <c r="J25" s="118">
        <v>0</v>
      </c>
      <c r="K25" s="118">
        <f t="shared" si="2"/>
        <v>0</v>
      </c>
      <c r="L25" s="118">
        <v>0</v>
      </c>
      <c r="M25" s="118">
        <v>0</v>
      </c>
      <c r="N25" s="118">
        <f t="shared" si="3"/>
        <v>0</v>
      </c>
      <c r="O25" s="118">
        <v>0</v>
      </c>
      <c r="P25" s="118">
        <v>0</v>
      </c>
      <c r="AJ25" s="113" t="s">
        <v>282</v>
      </c>
    </row>
    <row r="26" spans="1:44" s="42" customFormat="1" ht="15" customHeight="1">
      <c r="A26" s="116" t="s">
        <v>82</v>
      </c>
      <c r="B26" s="117" t="s">
        <v>283</v>
      </c>
      <c r="C26" s="111">
        <f t="shared" si="4"/>
        <v>0</v>
      </c>
      <c r="D26" s="118">
        <v>0</v>
      </c>
      <c r="E26" s="118">
        <v>0</v>
      </c>
      <c r="F26" s="118">
        <v>0</v>
      </c>
      <c r="G26" s="118">
        <f t="shared" si="1"/>
        <v>0</v>
      </c>
      <c r="H26" s="118">
        <v>0</v>
      </c>
      <c r="I26" s="118">
        <v>0</v>
      </c>
      <c r="J26" s="118">
        <v>0</v>
      </c>
      <c r="K26" s="118">
        <f t="shared" si="2"/>
        <v>0</v>
      </c>
      <c r="L26" s="118">
        <v>0</v>
      </c>
      <c r="M26" s="118">
        <v>0</v>
      </c>
      <c r="N26" s="118">
        <f t="shared" si="3"/>
        <v>0</v>
      </c>
      <c r="O26" s="118">
        <v>0</v>
      </c>
      <c r="P26" s="118">
        <v>0</v>
      </c>
      <c r="AR26" s="113"/>
    </row>
    <row r="27" spans="1:16" ht="9.75" customHeight="1">
      <c r="A27" s="120"/>
      <c r="B27" s="121"/>
      <c r="C27" s="122"/>
      <c r="D27" s="122"/>
      <c r="E27" s="122"/>
      <c r="F27" s="122"/>
      <c r="G27" s="122"/>
      <c r="H27" s="122"/>
      <c r="I27" s="122"/>
      <c r="J27" s="122"/>
      <c r="K27" s="122"/>
      <c r="L27" s="122"/>
      <c r="M27" s="122"/>
      <c r="N27" s="122"/>
      <c r="O27" s="122"/>
      <c r="P27" s="122"/>
    </row>
    <row r="28" spans="2:35" ht="27" customHeight="1">
      <c r="B28" s="697" t="s">
        <v>350</v>
      </c>
      <c r="C28" s="698"/>
      <c r="D28" s="698"/>
      <c r="E28" s="698"/>
      <c r="F28" s="123"/>
      <c r="G28" s="123"/>
      <c r="H28" s="123"/>
      <c r="I28" s="123"/>
      <c r="J28" s="123"/>
      <c r="K28" s="692" t="s">
        <v>351</v>
      </c>
      <c r="L28" s="692"/>
      <c r="M28" s="692"/>
      <c r="N28" s="692"/>
      <c r="O28" s="692"/>
      <c r="P28" s="692"/>
      <c r="AG28" s="73" t="s">
        <v>285</v>
      </c>
      <c r="AI28" s="113">
        <f>82/88</f>
        <v>0.9318181818181818</v>
      </c>
    </row>
    <row r="29" spans="2:16" ht="16.5">
      <c r="B29" s="698"/>
      <c r="C29" s="698"/>
      <c r="D29" s="698"/>
      <c r="E29" s="698"/>
      <c r="F29" s="123"/>
      <c r="G29" s="123"/>
      <c r="H29" s="123"/>
      <c r="I29" s="123"/>
      <c r="J29" s="123"/>
      <c r="K29" s="692"/>
      <c r="L29" s="692"/>
      <c r="M29" s="692"/>
      <c r="N29" s="692"/>
      <c r="O29" s="692"/>
      <c r="P29" s="692"/>
    </row>
    <row r="30" spans="2:16" ht="21" customHeight="1">
      <c r="B30" s="698"/>
      <c r="C30" s="698"/>
      <c r="D30" s="698"/>
      <c r="E30" s="698"/>
      <c r="F30" s="123"/>
      <c r="G30" s="123"/>
      <c r="H30" s="123"/>
      <c r="I30" s="123"/>
      <c r="J30" s="123"/>
      <c r="K30" s="692"/>
      <c r="L30" s="692"/>
      <c r="M30" s="692"/>
      <c r="N30" s="692"/>
      <c r="O30" s="692"/>
      <c r="P30" s="692"/>
    </row>
    <row r="32" spans="2:16" ht="16.5" customHeight="1">
      <c r="B32" s="700" t="s">
        <v>288</v>
      </c>
      <c r="C32" s="700"/>
      <c r="D32" s="700"/>
      <c r="E32" s="124"/>
      <c r="F32" s="124"/>
      <c r="G32" s="124"/>
      <c r="H32" s="124"/>
      <c r="I32" s="124"/>
      <c r="J32" s="124"/>
      <c r="K32" s="699" t="s">
        <v>352</v>
      </c>
      <c r="L32" s="699"/>
      <c r="M32" s="699"/>
      <c r="N32" s="699"/>
      <c r="O32" s="699"/>
      <c r="P32" s="699"/>
    </row>
    <row r="33" ht="12.75" customHeight="1"/>
    <row r="34" spans="2:5" ht="15.75">
      <c r="B34" s="125"/>
      <c r="C34" s="125"/>
      <c r="D34" s="125"/>
      <c r="E34" s="125"/>
    </row>
    <row r="35" ht="15.75" hidden="1"/>
    <row r="36" spans="2:16" ht="15.75">
      <c r="B36" s="695" t="s">
        <v>241</v>
      </c>
      <c r="C36" s="695"/>
      <c r="D36" s="695"/>
      <c r="E36" s="695"/>
      <c r="F36" s="126"/>
      <c r="G36" s="126"/>
      <c r="H36" s="126"/>
      <c r="I36" s="126"/>
      <c r="K36" s="696" t="s">
        <v>242</v>
      </c>
      <c r="L36" s="696"/>
      <c r="M36" s="696"/>
      <c r="N36" s="696"/>
      <c r="O36" s="696"/>
      <c r="P36" s="696"/>
    </row>
    <row r="39" ht="15.75">
      <c r="A39" s="128" t="s">
        <v>41</v>
      </c>
    </row>
    <row r="40" spans="1:6" ht="15.75">
      <c r="A40" s="129"/>
      <c r="B40" s="130" t="s">
        <v>48</v>
      </c>
      <c r="C40" s="130"/>
      <c r="D40" s="130"/>
      <c r="E40" s="130"/>
      <c r="F40" s="130"/>
    </row>
    <row r="41" spans="1:14" ht="15.75" customHeight="1">
      <c r="A41" s="131" t="s">
        <v>25</v>
      </c>
      <c r="B41" s="694" t="s">
        <v>51</v>
      </c>
      <c r="C41" s="694"/>
      <c r="D41" s="694"/>
      <c r="E41" s="694"/>
      <c r="F41" s="694"/>
      <c r="G41" s="131"/>
      <c r="H41" s="131"/>
      <c r="I41" s="131"/>
      <c r="J41" s="131"/>
      <c r="K41" s="131"/>
      <c r="L41" s="131"/>
      <c r="M41" s="131"/>
      <c r="N41" s="131"/>
    </row>
    <row r="42" spans="1:14" ht="15" customHeight="1">
      <c r="A42" s="131"/>
      <c r="B42" s="693" t="s">
        <v>52</v>
      </c>
      <c r="C42" s="693"/>
      <c r="D42" s="693"/>
      <c r="E42" s="693"/>
      <c r="F42" s="693"/>
      <c r="G42" s="693"/>
      <c r="H42" s="132"/>
      <c r="I42" s="132"/>
      <c r="J42" s="132"/>
      <c r="K42" s="131"/>
      <c r="L42" s="131"/>
      <c r="M42" s="131"/>
      <c r="N42" s="131"/>
    </row>
  </sheetData>
  <sheetProtection/>
  <mergeCells count="45">
    <mergeCell ref="K28:P30"/>
    <mergeCell ref="B42:G42"/>
    <mergeCell ref="B41:F41"/>
    <mergeCell ref="B36:E36"/>
    <mergeCell ref="K36:P36"/>
    <mergeCell ref="B28:E30"/>
    <mergeCell ref="K32:P32"/>
    <mergeCell ref="B32:D32"/>
    <mergeCell ref="N6:P6"/>
    <mergeCell ref="O7:P7"/>
    <mergeCell ref="L7:M7"/>
    <mergeCell ref="M1:P1"/>
    <mergeCell ref="M2:P2"/>
    <mergeCell ref="M3:P3"/>
    <mergeCell ref="K6:M6"/>
    <mergeCell ref="D4:L4"/>
    <mergeCell ref="D7:F7"/>
    <mergeCell ref="K5:P5"/>
    <mergeCell ref="A11:B11"/>
    <mergeCell ref="P8:P9"/>
    <mergeCell ref="O8:O9"/>
    <mergeCell ref="N7:N9"/>
    <mergeCell ref="H8:H9"/>
    <mergeCell ref="L8:L9"/>
    <mergeCell ref="M8:M9"/>
    <mergeCell ref="A13:B13"/>
    <mergeCell ref="G7:G9"/>
    <mergeCell ref="A10:B10"/>
    <mergeCell ref="A5:B9"/>
    <mergeCell ref="C5:J5"/>
    <mergeCell ref="G6:J6"/>
    <mergeCell ref="C7:C9"/>
    <mergeCell ref="H7:J7"/>
    <mergeCell ref="D8:D9"/>
    <mergeCell ref="A12:B12"/>
    <mergeCell ref="A1:B1"/>
    <mergeCell ref="E8:E9"/>
    <mergeCell ref="C6:F6"/>
    <mergeCell ref="F8:F9"/>
    <mergeCell ref="A3:C3"/>
    <mergeCell ref="A2:C2"/>
    <mergeCell ref="D1:L3"/>
    <mergeCell ref="I8:I9"/>
    <mergeCell ref="K7:K9"/>
    <mergeCell ref="J8:J9"/>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33" customWidth="1"/>
    <col min="2" max="2" width="23.875" style="33" customWidth="1"/>
    <col min="3" max="3" width="13.875" style="33" customWidth="1"/>
    <col min="4" max="4" width="11.125" style="33" customWidth="1"/>
    <col min="5" max="5" width="10.125" style="33" customWidth="1"/>
    <col min="6" max="12" width="10.25390625" style="33" customWidth="1"/>
    <col min="13" max="13" width="14.25390625" style="33" customWidth="1"/>
    <col min="14"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2" ht="22.5" customHeight="1">
      <c r="A1" s="639" t="s">
        <v>97</v>
      </c>
      <c r="B1" s="639"/>
      <c r="C1" s="639"/>
      <c r="D1" s="704" t="s">
        <v>353</v>
      </c>
      <c r="E1" s="704"/>
      <c r="F1" s="704"/>
      <c r="G1" s="704"/>
      <c r="H1" s="704"/>
      <c r="I1" s="704"/>
      <c r="J1" s="708" t="s">
        <v>354</v>
      </c>
      <c r="K1" s="709"/>
      <c r="L1" s="709"/>
    </row>
    <row r="2" spans="1:13" ht="15.75" customHeight="1">
      <c r="A2" s="710" t="s">
        <v>299</v>
      </c>
      <c r="B2" s="710"/>
      <c r="C2" s="710"/>
      <c r="D2" s="704"/>
      <c r="E2" s="704"/>
      <c r="F2" s="704"/>
      <c r="G2" s="704"/>
      <c r="H2" s="704"/>
      <c r="I2" s="704"/>
      <c r="J2" s="709" t="s">
        <v>300</v>
      </c>
      <c r="K2" s="709"/>
      <c r="L2" s="709"/>
      <c r="M2" s="133"/>
    </row>
    <row r="3" spans="1:13" ht="15.75" customHeight="1">
      <c r="A3" s="641" t="s">
        <v>251</v>
      </c>
      <c r="B3" s="641"/>
      <c r="C3" s="641"/>
      <c r="D3" s="704"/>
      <c r="E3" s="704"/>
      <c r="F3" s="704"/>
      <c r="G3" s="704"/>
      <c r="H3" s="704"/>
      <c r="I3" s="704"/>
      <c r="J3" s="708" t="s">
        <v>355</v>
      </c>
      <c r="K3" s="708"/>
      <c r="L3" s="708"/>
      <c r="M3" s="37"/>
    </row>
    <row r="4" spans="1:13" ht="15.75" customHeight="1">
      <c r="A4" s="707" t="s">
        <v>253</v>
      </c>
      <c r="B4" s="707"/>
      <c r="C4" s="707"/>
      <c r="D4" s="706"/>
      <c r="E4" s="706"/>
      <c r="F4" s="706"/>
      <c r="G4" s="706"/>
      <c r="H4" s="706"/>
      <c r="I4" s="706"/>
      <c r="J4" s="709" t="s">
        <v>301</v>
      </c>
      <c r="K4" s="709"/>
      <c r="L4" s="709"/>
      <c r="M4" s="133"/>
    </row>
    <row r="5" spans="1:13" ht="15.75">
      <c r="A5" s="134"/>
      <c r="B5" s="134"/>
      <c r="C5" s="34"/>
      <c r="D5" s="34"/>
      <c r="E5" s="34"/>
      <c r="F5" s="34"/>
      <c r="G5" s="34"/>
      <c r="H5" s="34"/>
      <c r="I5" s="34"/>
      <c r="J5" s="705" t="s">
        <v>8</v>
      </c>
      <c r="K5" s="705"/>
      <c r="L5" s="705"/>
      <c r="M5" s="133"/>
    </row>
    <row r="6" spans="1:14" ht="15.75">
      <c r="A6" s="713" t="s">
        <v>55</v>
      </c>
      <c r="B6" s="714"/>
      <c r="C6" s="663" t="s">
        <v>302</v>
      </c>
      <c r="D6" s="703" t="s">
        <v>303</v>
      </c>
      <c r="E6" s="703"/>
      <c r="F6" s="703"/>
      <c r="G6" s="703"/>
      <c r="H6" s="703"/>
      <c r="I6" s="703"/>
      <c r="J6" s="629" t="s">
        <v>95</v>
      </c>
      <c r="K6" s="629"/>
      <c r="L6" s="629"/>
      <c r="M6" s="701" t="s">
        <v>304</v>
      </c>
      <c r="N6" s="702" t="s">
        <v>305</v>
      </c>
    </row>
    <row r="7" spans="1:14" ht="15.75" customHeight="1">
      <c r="A7" s="715"/>
      <c r="B7" s="716"/>
      <c r="C7" s="663"/>
      <c r="D7" s="703" t="s">
        <v>7</v>
      </c>
      <c r="E7" s="703"/>
      <c r="F7" s="703"/>
      <c r="G7" s="703"/>
      <c r="H7" s="703"/>
      <c r="I7" s="703"/>
      <c r="J7" s="629"/>
      <c r="K7" s="629"/>
      <c r="L7" s="629"/>
      <c r="M7" s="701"/>
      <c r="N7" s="702"/>
    </row>
    <row r="8" spans="1:14" s="73" customFormat="1" ht="31.5" customHeight="1">
      <c r="A8" s="715"/>
      <c r="B8" s="716"/>
      <c r="C8" s="663"/>
      <c r="D8" s="629" t="s">
        <v>93</v>
      </c>
      <c r="E8" s="629" t="s">
        <v>94</v>
      </c>
      <c r="F8" s="629"/>
      <c r="G8" s="629"/>
      <c r="H8" s="629"/>
      <c r="I8" s="629"/>
      <c r="J8" s="629"/>
      <c r="K8" s="629"/>
      <c r="L8" s="629"/>
      <c r="M8" s="701"/>
      <c r="N8" s="702"/>
    </row>
    <row r="9" spans="1:14" s="73" customFormat="1" ht="15.75" customHeight="1">
      <c r="A9" s="715"/>
      <c r="B9" s="716"/>
      <c r="C9" s="663"/>
      <c r="D9" s="629"/>
      <c r="E9" s="629" t="s">
        <v>96</v>
      </c>
      <c r="F9" s="629" t="s">
        <v>7</v>
      </c>
      <c r="G9" s="629"/>
      <c r="H9" s="629"/>
      <c r="I9" s="629"/>
      <c r="J9" s="629" t="s">
        <v>7</v>
      </c>
      <c r="K9" s="629"/>
      <c r="L9" s="629"/>
      <c r="M9" s="701"/>
      <c r="N9" s="702"/>
    </row>
    <row r="10" spans="1:14" s="73" customFormat="1" ht="86.25" customHeight="1">
      <c r="A10" s="717"/>
      <c r="B10" s="718"/>
      <c r="C10" s="663"/>
      <c r="D10" s="629"/>
      <c r="E10" s="629"/>
      <c r="F10" s="104" t="s">
        <v>22</v>
      </c>
      <c r="G10" s="104" t="s">
        <v>24</v>
      </c>
      <c r="H10" s="104" t="s">
        <v>16</v>
      </c>
      <c r="I10" s="104" t="s">
        <v>23</v>
      </c>
      <c r="J10" s="104" t="s">
        <v>15</v>
      </c>
      <c r="K10" s="104" t="s">
        <v>20</v>
      </c>
      <c r="L10" s="104" t="s">
        <v>21</v>
      </c>
      <c r="M10" s="701"/>
      <c r="N10" s="702"/>
    </row>
    <row r="11" spans="1:32" ht="13.5" customHeight="1">
      <c r="A11" s="727" t="s">
        <v>5</v>
      </c>
      <c r="B11" s="728"/>
      <c r="C11" s="135">
        <v>1</v>
      </c>
      <c r="D11" s="135" t="s">
        <v>44</v>
      </c>
      <c r="E11" s="135" t="s">
        <v>47</v>
      </c>
      <c r="F11" s="135" t="s">
        <v>56</v>
      </c>
      <c r="G11" s="135" t="s">
        <v>57</v>
      </c>
      <c r="H11" s="135" t="s">
        <v>58</v>
      </c>
      <c r="I11" s="135" t="s">
        <v>59</v>
      </c>
      <c r="J11" s="135" t="s">
        <v>60</v>
      </c>
      <c r="K11" s="135" t="s">
        <v>61</v>
      </c>
      <c r="L11" s="135" t="s">
        <v>81</v>
      </c>
      <c r="M11" s="136"/>
      <c r="N11" s="137"/>
      <c r="AF11" s="33" t="s">
        <v>265</v>
      </c>
    </row>
    <row r="12" spans="1:14" ht="24" customHeight="1">
      <c r="A12" s="721" t="s">
        <v>296</v>
      </c>
      <c r="B12" s="722"/>
      <c r="C12" s="138">
        <f aca="true" t="shared" si="0" ref="C12:L12">C14-C13</f>
        <v>-25</v>
      </c>
      <c r="D12" s="138">
        <f t="shared" si="0"/>
        <v>-26</v>
      </c>
      <c r="E12" s="138">
        <f t="shared" si="0"/>
        <v>17</v>
      </c>
      <c r="F12" s="138">
        <f t="shared" si="0"/>
        <v>1</v>
      </c>
      <c r="G12" s="138">
        <f t="shared" si="0"/>
        <v>3</v>
      </c>
      <c r="H12" s="138">
        <f t="shared" si="0"/>
        <v>-1</v>
      </c>
      <c r="I12" s="138">
        <f t="shared" si="0"/>
        <v>-2</v>
      </c>
      <c r="J12" s="138">
        <f t="shared" si="0"/>
        <v>-9</v>
      </c>
      <c r="K12" s="138">
        <f t="shared" si="0"/>
        <v>-13</v>
      </c>
      <c r="L12" s="138">
        <f t="shared" si="0"/>
        <v>-3</v>
      </c>
      <c r="M12" s="136"/>
      <c r="N12" s="137"/>
    </row>
    <row r="13" spans="1:14" ht="23.25" customHeight="1">
      <c r="A13" s="719" t="s">
        <v>252</v>
      </c>
      <c r="B13" s="720"/>
      <c r="C13" s="139">
        <v>59</v>
      </c>
      <c r="D13" s="139">
        <v>43</v>
      </c>
      <c r="E13" s="139">
        <v>0</v>
      </c>
      <c r="F13" s="139">
        <v>5</v>
      </c>
      <c r="G13" s="139">
        <v>2</v>
      </c>
      <c r="H13" s="139">
        <v>7</v>
      </c>
      <c r="I13" s="139">
        <v>2</v>
      </c>
      <c r="J13" s="139">
        <v>10</v>
      </c>
      <c r="K13" s="139">
        <v>44</v>
      </c>
      <c r="L13" s="139">
        <v>5</v>
      </c>
      <c r="M13" s="136"/>
      <c r="N13" s="137"/>
    </row>
    <row r="14" spans="1:37" s="52" customFormat="1" ht="16.5" customHeight="1">
      <c r="A14" s="725" t="s">
        <v>30</v>
      </c>
      <c r="B14" s="726"/>
      <c r="C14" s="140">
        <f aca="true" t="shared" si="1" ref="C14:L14">C15+C16</f>
        <v>34</v>
      </c>
      <c r="D14" s="141">
        <f t="shared" si="1"/>
        <v>17</v>
      </c>
      <c r="E14" s="141">
        <f t="shared" si="1"/>
        <v>17</v>
      </c>
      <c r="F14" s="141">
        <f t="shared" si="1"/>
        <v>6</v>
      </c>
      <c r="G14" s="141">
        <f t="shared" si="1"/>
        <v>5</v>
      </c>
      <c r="H14" s="141">
        <f t="shared" si="1"/>
        <v>6</v>
      </c>
      <c r="I14" s="141">
        <f t="shared" si="1"/>
        <v>0</v>
      </c>
      <c r="J14" s="141">
        <f t="shared" si="1"/>
        <v>1</v>
      </c>
      <c r="K14" s="141">
        <f t="shared" si="1"/>
        <v>31</v>
      </c>
      <c r="L14" s="141">
        <f t="shared" si="1"/>
        <v>2</v>
      </c>
      <c r="M14" s="142">
        <f>'[3]kiem tra du lieu'!$B$6</f>
        <v>34</v>
      </c>
      <c r="N14" s="137">
        <f aca="true" t="shared" si="2" ref="N14:N27">C14-M14</f>
        <v>0</v>
      </c>
      <c r="AK14" s="63"/>
    </row>
    <row r="15" spans="1:14" s="52" customFormat="1" ht="16.5" customHeight="1">
      <c r="A15" s="143" t="s">
        <v>0</v>
      </c>
      <c r="B15" s="144" t="s">
        <v>78</v>
      </c>
      <c r="C15" s="140">
        <f aca="true" t="shared" si="3" ref="C15:C27">D15+E15</f>
        <v>0</v>
      </c>
      <c r="D15" s="145">
        <v>0</v>
      </c>
      <c r="E15" s="146">
        <f aca="true" t="shared" si="4" ref="E15:E27">F15+G15+H15+I15</f>
        <v>0</v>
      </c>
      <c r="F15" s="145">
        <v>0</v>
      </c>
      <c r="G15" s="145">
        <v>0</v>
      </c>
      <c r="H15" s="145">
        <v>0</v>
      </c>
      <c r="I15" s="145">
        <v>0</v>
      </c>
      <c r="J15" s="145">
        <v>0</v>
      </c>
      <c r="K15" s="145">
        <v>0</v>
      </c>
      <c r="L15" s="145">
        <v>0</v>
      </c>
      <c r="M15" s="136">
        <f>'[3]kiem tra du lieu'!$B$7</f>
        <v>0</v>
      </c>
      <c r="N15" s="137">
        <f t="shared" si="2"/>
        <v>0</v>
      </c>
    </row>
    <row r="16" spans="1:38" s="52" customFormat="1" ht="16.5" customHeight="1">
      <c r="A16" s="64" t="s">
        <v>1</v>
      </c>
      <c r="B16" s="60" t="s">
        <v>17</v>
      </c>
      <c r="C16" s="140">
        <f t="shared" si="3"/>
        <v>34</v>
      </c>
      <c r="D16" s="141">
        <f>D17+D18+D19+D20+D21+D22+D23+D24+D25+D26+D27</f>
        <v>17</v>
      </c>
      <c r="E16" s="141">
        <f t="shared" si="4"/>
        <v>17</v>
      </c>
      <c r="F16" s="141">
        <f aca="true" t="shared" si="5" ref="F16:M16">F17+F18+F19+F20+F21+F22+F23+F24+F25+F26+F27</f>
        <v>6</v>
      </c>
      <c r="G16" s="141">
        <f t="shared" si="5"/>
        <v>5</v>
      </c>
      <c r="H16" s="141">
        <f t="shared" si="5"/>
        <v>6</v>
      </c>
      <c r="I16" s="141">
        <f t="shared" si="5"/>
        <v>0</v>
      </c>
      <c r="J16" s="141">
        <f t="shared" si="5"/>
        <v>1</v>
      </c>
      <c r="K16" s="141">
        <f t="shared" si="5"/>
        <v>31</v>
      </c>
      <c r="L16" s="141">
        <f t="shared" si="5"/>
        <v>2</v>
      </c>
      <c r="M16" s="141">
        <f t="shared" si="5"/>
        <v>34</v>
      </c>
      <c r="N16" s="137">
        <f t="shared" si="2"/>
        <v>0</v>
      </c>
      <c r="AL16" s="63"/>
    </row>
    <row r="17" spans="1:32" s="148" customFormat="1" ht="16.5" customHeight="1">
      <c r="A17" s="147" t="s">
        <v>43</v>
      </c>
      <c r="B17" s="68" t="s">
        <v>266</v>
      </c>
      <c r="C17" s="140">
        <f t="shared" si="3"/>
        <v>4</v>
      </c>
      <c r="D17" s="145">
        <v>0</v>
      </c>
      <c r="E17" s="141">
        <f t="shared" si="4"/>
        <v>4</v>
      </c>
      <c r="F17" s="145">
        <v>0</v>
      </c>
      <c r="G17" s="145">
        <v>0</v>
      </c>
      <c r="H17" s="145">
        <v>4</v>
      </c>
      <c r="I17" s="145">
        <v>0</v>
      </c>
      <c r="J17" s="145">
        <v>0</v>
      </c>
      <c r="K17" s="145">
        <v>4</v>
      </c>
      <c r="L17" s="145">
        <v>0</v>
      </c>
      <c r="M17" s="136">
        <f>'[3]kiem tra du lieu'!$B$8</f>
        <v>4</v>
      </c>
      <c r="N17" s="137">
        <f t="shared" si="2"/>
        <v>0</v>
      </c>
      <c r="AF17" s="63" t="s">
        <v>268</v>
      </c>
    </row>
    <row r="18" spans="1:14" s="148" customFormat="1" ht="16.5" customHeight="1">
      <c r="A18" s="147" t="s">
        <v>44</v>
      </c>
      <c r="B18" s="68" t="s">
        <v>298</v>
      </c>
      <c r="C18" s="140">
        <f t="shared" si="3"/>
        <v>1</v>
      </c>
      <c r="D18" s="145">
        <v>0</v>
      </c>
      <c r="E18" s="141">
        <f t="shared" si="4"/>
        <v>1</v>
      </c>
      <c r="F18" s="145">
        <v>0</v>
      </c>
      <c r="G18" s="145">
        <v>1</v>
      </c>
      <c r="H18" s="145">
        <v>0</v>
      </c>
      <c r="I18" s="145">
        <v>0</v>
      </c>
      <c r="J18" s="145">
        <v>0</v>
      </c>
      <c r="K18" s="145">
        <v>1</v>
      </c>
      <c r="L18" s="145">
        <v>0</v>
      </c>
      <c r="M18" s="136">
        <f>'[3]kiem tra du lieu'!$B$9</f>
        <v>1</v>
      </c>
      <c r="N18" s="137">
        <f t="shared" si="2"/>
        <v>0</v>
      </c>
    </row>
    <row r="19" spans="1:14" s="148" customFormat="1" ht="16.5" customHeight="1">
      <c r="A19" s="147" t="s">
        <v>47</v>
      </c>
      <c r="B19" s="68" t="s">
        <v>269</v>
      </c>
      <c r="C19" s="140">
        <f t="shared" si="3"/>
        <v>11</v>
      </c>
      <c r="D19" s="145">
        <v>5</v>
      </c>
      <c r="E19" s="141">
        <f t="shared" si="4"/>
        <v>6</v>
      </c>
      <c r="F19" s="145">
        <v>3</v>
      </c>
      <c r="G19" s="145">
        <v>3</v>
      </c>
      <c r="H19" s="145">
        <v>0</v>
      </c>
      <c r="I19" s="145">
        <v>0</v>
      </c>
      <c r="J19" s="145">
        <v>0</v>
      </c>
      <c r="K19" s="149">
        <v>10</v>
      </c>
      <c r="L19" s="145">
        <v>1</v>
      </c>
      <c r="M19" s="136">
        <f>'[3]kiem tra du lieu'!$B$10</f>
        <v>11</v>
      </c>
      <c r="N19" s="137">
        <f t="shared" si="2"/>
        <v>0</v>
      </c>
    </row>
    <row r="20" spans="1:14" s="148" customFormat="1" ht="16.5" customHeight="1">
      <c r="A20" s="147" t="s">
        <v>56</v>
      </c>
      <c r="B20" s="68" t="s">
        <v>270</v>
      </c>
      <c r="C20" s="140">
        <f t="shared" si="3"/>
        <v>0</v>
      </c>
      <c r="D20" s="149">
        <v>0</v>
      </c>
      <c r="E20" s="141">
        <f t="shared" si="4"/>
        <v>0</v>
      </c>
      <c r="F20" s="145">
        <v>0</v>
      </c>
      <c r="G20" s="145">
        <v>0</v>
      </c>
      <c r="H20" s="145">
        <v>0</v>
      </c>
      <c r="I20" s="145">
        <v>0</v>
      </c>
      <c r="J20" s="145">
        <v>0</v>
      </c>
      <c r="K20" s="145">
        <v>0</v>
      </c>
      <c r="L20" s="145">
        <v>0</v>
      </c>
      <c r="M20" s="136">
        <f>'[3]kiem tra du lieu'!$B$11</f>
        <v>0</v>
      </c>
      <c r="N20" s="137">
        <f t="shared" si="2"/>
        <v>0</v>
      </c>
    </row>
    <row r="21" spans="1:39" s="148" customFormat="1" ht="16.5" customHeight="1">
      <c r="A21" s="147" t="s">
        <v>57</v>
      </c>
      <c r="B21" s="68" t="s">
        <v>271</v>
      </c>
      <c r="C21" s="140">
        <f t="shared" si="3"/>
        <v>2</v>
      </c>
      <c r="D21" s="145">
        <v>0</v>
      </c>
      <c r="E21" s="141">
        <f t="shared" si="4"/>
        <v>2</v>
      </c>
      <c r="F21" s="145">
        <v>0</v>
      </c>
      <c r="G21" s="145">
        <v>0</v>
      </c>
      <c r="H21" s="145">
        <v>2</v>
      </c>
      <c r="I21" s="145">
        <v>0</v>
      </c>
      <c r="J21" s="145">
        <v>0</v>
      </c>
      <c r="K21" s="145">
        <v>1</v>
      </c>
      <c r="L21" s="145">
        <v>1</v>
      </c>
      <c r="M21" s="136">
        <f>'[3]kiem tra du lieu'!$B$12</f>
        <v>2</v>
      </c>
      <c r="N21" s="137">
        <f t="shared" si="2"/>
        <v>0</v>
      </c>
      <c r="AJ21" s="148" t="s">
        <v>273</v>
      </c>
      <c r="AK21" s="148" t="s">
        <v>274</v>
      </c>
      <c r="AL21" s="148" t="s">
        <v>275</v>
      </c>
      <c r="AM21" s="63" t="s">
        <v>276</v>
      </c>
    </row>
    <row r="22" spans="1:39" s="148" customFormat="1" ht="16.5" customHeight="1">
      <c r="A22" s="147" t="s">
        <v>58</v>
      </c>
      <c r="B22" s="68" t="s">
        <v>272</v>
      </c>
      <c r="C22" s="140">
        <f t="shared" si="3"/>
        <v>1</v>
      </c>
      <c r="D22" s="145">
        <v>0</v>
      </c>
      <c r="E22" s="141">
        <f t="shared" si="4"/>
        <v>1</v>
      </c>
      <c r="F22" s="145">
        <v>1</v>
      </c>
      <c r="G22" s="145">
        <v>0</v>
      </c>
      <c r="H22" s="145">
        <v>0</v>
      </c>
      <c r="I22" s="145">
        <v>0</v>
      </c>
      <c r="J22" s="145">
        <v>0</v>
      </c>
      <c r="K22" s="145">
        <v>1</v>
      </c>
      <c r="L22" s="145">
        <v>0</v>
      </c>
      <c r="M22" s="136">
        <f>'[3]kiem tra du lieu'!$B$13</f>
        <v>1</v>
      </c>
      <c r="N22" s="137">
        <f t="shared" si="2"/>
        <v>0</v>
      </c>
      <c r="AM22" s="63" t="s">
        <v>278</v>
      </c>
    </row>
    <row r="23" spans="1:14" s="148" customFormat="1" ht="16.5" customHeight="1">
      <c r="A23" s="147" t="s">
        <v>59</v>
      </c>
      <c r="B23" s="68" t="s">
        <v>277</v>
      </c>
      <c r="C23" s="140">
        <f t="shared" si="3"/>
        <v>1</v>
      </c>
      <c r="D23" s="145">
        <v>1</v>
      </c>
      <c r="E23" s="141">
        <f t="shared" si="4"/>
        <v>0</v>
      </c>
      <c r="F23" s="145">
        <v>0</v>
      </c>
      <c r="G23" s="145">
        <v>0</v>
      </c>
      <c r="H23" s="145">
        <v>0</v>
      </c>
      <c r="I23" s="145">
        <v>0</v>
      </c>
      <c r="J23" s="145">
        <v>0</v>
      </c>
      <c r="K23" s="145">
        <v>1</v>
      </c>
      <c r="L23" s="145">
        <v>0</v>
      </c>
      <c r="M23" s="136">
        <f>'[3]kiem tra du lieu'!$B$14</f>
        <v>1</v>
      </c>
      <c r="N23" s="137">
        <f t="shared" si="2"/>
        <v>0</v>
      </c>
    </row>
    <row r="24" spans="1:36" s="148" customFormat="1" ht="16.5" customHeight="1">
      <c r="A24" s="147" t="s">
        <v>60</v>
      </c>
      <c r="B24" s="68" t="s">
        <v>279</v>
      </c>
      <c r="C24" s="140">
        <f t="shared" si="3"/>
        <v>1</v>
      </c>
      <c r="D24" s="145">
        <v>0</v>
      </c>
      <c r="E24" s="141">
        <f t="shared" si="4"/>
        <v>1</v>
      </c>
      <c r="F24" s="150">
        <v>1</v>
      </c>
      <c r="G24" s="150">
        <v>0</v>
      </c>
      <c r="H24" s="150">
        <v>0</v>
      </c>
      <c r="I24" s="150">
        <v>0</v>
      </c>
      <c r="J24" s="150">
        <v>0</v>
      </c>
      <c r="K24" s="150">
        <v>1</v>
      </c>
      <c r="L24" s="150">
        <v>0</v>
      </c>
      <c r="M24" s="136">
        <f>'[3]kiem tra du lieu'!$B$15</f>
        <v>1</v>
      </c>
      <c r="N24" s="137">
        <f t="shared" si="2"/>
        <v>0</v>
      </c>
      <c r="AJ24" s="148" t="s">
        <v>273</v>
      </c>
    </row>
    <row r="25" spans="1:36" s="148" customFormat="1" ht="16.5" customHeight="1">
      <c r="A25" s="147" t="s">
        <v>61</v>
      </c>
      <c r="B25" s="68" t="s">
        <v>280</v>
      </c>
      <c r="C25" s="140">
        <f t="shared" si="3"/>
        <v>10</v>
      </c>
      <c r="D25" s="145">
        <v>10</v>
      </c>
      <c r="E25" s="141">
        <f t="shared" si="4"/>
        <v>0</v>
      </c>
      <c r="F25" s="145">
        <v>0</v>
      </c>
      <c r="G25" s="145">
        <v>0</v>
      </c>
      <c r="H25" s="145">
        <v>0</v>
      </c>
      <c r="I25" s="145">
        <v>0</v>
      </c>
      <c r="J25" s="145">
        <v>0</v>
      </c>
      <c r="K25" s="145">
        <v>10</v>
      </c>
      <c r="L25" s="145">
        <v>0</v>
      </c>
      <c r="M25" s="136">
        <f>'[3]kiem tra du lieu'!$B$16</f>
        <v>10</v>
      </c>
      <c r="N25" s="137">
        <f t="shared" si="2"/>
        <v>0</v>
      </c>
      <c r="AJ25" s="63" t="s">
        <v>282</v>
      </c>
    </row>
    <row r="26" spans="1:44" s="70" customFormat="1" ht="16.5" customHeight="1">
      <c r="A26" s="151" t="s">
        <v>81</v>
      </c>
      <c r="B26" s="68" t="s">
        <v>281</v>
      </c>
      <c r="C26" s="140">
        <f t="shared" si="3"/>
        <v>2</v>
      </c>
      <c r="D26" s="145">
        <v>0</v>
      </c>
      <c r="E26" s="141">
        <f t="shared" si="4"/>
        <v>2</v>
      </c>
      <c r="F26" s="145">
        <v>1</v>
      </c>
      <c r="G26" s="145">
        <v>1</v>
      </c>
      <c r="H26" s="145">
        <v>0</v>
      </c>
      <c r="I26" s="145">
        <v>0</v>
      </c>
      <c r="J26" s="145">
        <v>0</v>
      </c>
      <c r="K26" s="145">
        <v>2</v>
      </c>
      <c r="L26" s="145">
        <v>0</v>
      </c>
      <c r="M26" s="136">
        <f>'[3]kiem tra du lieu'!$B$17</f>
        <v>2</v>
      </c>
      <c r="N26" s="137">
        <f t="shared" si="2"/>
        <v>0</v>
      </c>
      <c r="AR26" s="152"/>
    </row>
    <row r="27" spans="1:14" s="148" customFormat="1" ht="16.5" customHeight="1">
      <c r="A27" s="147" t="s">
        <v>82</v>
      </c>
      <c r="B27" s="68" t="s">
        <v>283</v>
      </c>
      <c r="C27" s="140">
        <f t="shared" si="3"/>
        <v>1</v>
      </c>
      <c r="D27" s="145">
        <v>1</v>
      </c>
      <c r="E27" s="141">
        <f t="shared" si="4"/>
        <v>0</v>
      </c>
      <c r="F27" s="145">
        <v>0</v>
      </c>
      <c r="G27" s="145">
        <v>0</v>
      </c>
      <c r="H27" s="145">
        <v>0</v>
      </c>
      <c r="I27" s="145">
        <v>0</v>
      </c>
      <c r="J27" s="145">
        <v>1</v>
      </c>
      <c r="K27" s="145">
        <v>0</v>
      </c>
      <c r="L27" s="145">
        <v>0</v>
      </c>
      <c r="M27" s="136">
        <f>'[3]kiem tra du lieu'!$B$18</f>
        <v>1</v>
      </c>
      <c r="N27" s="137">
        <f t="shared" si="2"/>
        <v>0</v>
      </c>
    </row>
    <row r="28" spans="1:35" ht="6" customHeight="1">
      <c r="A28" s="153"/>
      <c r="B28" s="154"/>
      <c r="C28" s="155"/>
      <c r="D28" s="155"/>
      <c r="E28" s="155"/>
      <c r="F28" s="155"/>
      <c r="G28" s="155"/>
      <c r="H28" s="155"/>
      <c r="I28" s="155"/>
      <c r="J28" s="155"/>
      <c r="K28" s="155"/>
      <c r="L28" s="155"/>
      <c r="M28" s="156"/>
      <c r="AG28" s="33" t="s">
        <v>285</v>
      </c>
      <c r="AI28" s="157">
        <f>82/88</f>
        <v>0.9318181818181818</v>
      </c>
    </row>
    <row r="29" spans="1:13" ht="16.5" customHeight="1">
      <c r="A29" s="647" t="s">
        <v>356</v>
      </c>
      <c r="B29" s="729"/>
      <c r="C29" s="729"/>
      <c r="D29" s="729"/>
      <c r="E29" s="158"/>
      <c r="F29" s="158"/>
      <c r="G29" s="158"/>
      <c r="H29" s="711" t="s">
        <v>306</v>
      </c>
      <c r="I29" s="711"/>
      <c r="J29" s="711"/>
      <c r="K29" s="711"/>
      <c r="L29" s="711"/>
      <c r="M29" s="159"/>
    </row>
    <row r="30" spans="1:12" ht="18.75">
      <c r="A30" s="729"/>
      <c r="B30" s="729"/>
      <c r="C30" s="729"/>
      <c r="D30" s="729"/>
      <c r="E30" s="158"/>
      <c r="F30" s="158"/>
      <c r="G30" s="158"/>
      <c r="H30" s="712" t="s">
        <v>307</v>
      </c>
      <c r="I30" s="712"/>
      <c r="J30" s="712"/>
      <c r="K30" s="712"/>
      <c r="L30" s="712"/>
    </row>
    <row r="31" spans="1:12" s="32" customFormat="1" ht="16.5" customHeight="1">
      <c r="A31" s="620"/>
      <c r="B31" s="620"/>
      <c r="C31" s="620"/>
      <c r="D31" s="620"/>
      <c r="E31" s="160"/>
      <c r="F31" s="160"/>
      <c r="G31" s="160"/>
      <c r="H31" s="621"/>
      <c r="I31" s="621"/>
      <c r="J31" s="621"/>
      <c r="K31" s="621"/>
      <c r="L31" s="621"/>
    </row>
    <row r="32" spans="1:12" ht="18.75">
      <c r="A32" s="89"/>
      <c r="B32" s="620" t="s">
        <v>288</v>
      </c>
      <c r="C32" s="620"/>
      <c r="D32" s="620"/>
      <c r="E32" s="160"/>
      <c r="F32" s="160"/>
      <c r="G32" s="160"/>
      <c r="H32" s="160"/>
      <c r="I32" s="730" t="s">
        <v>288</v>
      </c>
      <c r="J32" s="730"/>
      <c r="K32" s="730"/>
      <c r="L32" s="89"/>
    </row>
    <row r="33" spans="1:12" ht="9" customHeight="1">
      <c r="A33" s="161"/>
      <c r="B33" s="162"/>
      <c r="C33" s="162"/>
      <c r="D33" s="162"/>
      <c r="E33" s="162"/>
      <c r="F33" s="162"/>
      <c r="G33" s="162"/>
      <c r="H33" s="162"/>
      <c r="I33" s="162"/>
      <c r="J33" s="162"/>
      <c r="K33" s="161"/>
      <c r="L33" s="161"/>
    </row>
    <row r="34" spans="1:12" ht="18.75">
      <c r="A34" s="161"/>
      <c r="B34" s="162"/>
      <c r="C34" s="162"/>
      <c r="D34" s="162"/>
      <c r="E34" s="162"/>
      <c r="F34" s="162"/>
      <c r="G34" s="162"/>
      <c r="H34" s="162"/>
      <c r="I34" s="162"/>
      <c r="J34" s="162"/>
      <c r="K34" s="161"/>
      <c r="L34" s="161"/>
    </row>
    <row r="35" spans="1:12" ht="9" customHeight="1">
      <c r="A35" s="161"/>
      <c r="B35" s="162"/>
      <c r="C35" s="162"/>
      <c r="D35" s="162"/>
      <c r="E35" s="162"/>
      <c r="F35" s="162"/>
      <c r="G35" s="162"/>
      <c r="H35" s="162"/>
      <c r="I35" s="162"/>
      <c r="J35" s="162"/>
      <c r="K35" s="161"/>
      <c r="L35" s="161"/>
    </row>
    <row r="36" spans="1:12" ht="18.75">
      <c r="A36" s="89"/>
      <c r="B36" s="160"/>
      <c r="C36" s="160"/>
      <c r="D36" s="160"/>
      <c r="E36" s="160"/>
      <c r="F36" s="160"/>
      <c r="G36" s="160"/>
      <c r="H36" s="160"/>
      <c r="I36" s="160"/>
      <c r="J36" s="160"/>
      <c r="K36" s="89"/>
      <c r="L36" s="89"/>
    </row>
    <row r="37" spans="1:13" ht="18.75">
      <c r="A37" s="650" t="s">
        <v>241</v>
      </c>
      <c r="B37" s="650"/>
      <c r="C37" s="650"/>
      <c r="D37" s="650"/>
      <c r="E37" s="91"/>
      <c r="F37" s="91"/>
      <c r="G37" s="91"/>
      <c r="H37" s="651" t="s">
        <v>241</v>
      </c>
      <c r="I37" s="651"/>
      <c r="J37" s="651"/>
      <c r="K37" s="651"/>
      <c r="L37" s="651"/>
      <c r="M37" s="163"/>
    </row>
    <row r="38" spans="1:12" ht="22.5" customHeight="1">
      <c r="A38" s="89"/>
      <c r="B38" s="160"/>
      <c r="C38" s="160"/>
      <c r="D38" s="160"/>
      <c r="E38" s="160"/>
      <c r="F38" s="160"/>
      <c r="G38" s="160"/>
      <c r="H38" s="160"/>
      <c r="I38" s="160"/>
      <c r="J38" s="160"/>
      <c r="K38" s="89"/>
      <c r="L38" s="89"/>
    </row>
    <row r="39" spans="1:12" ht="19.5">
      <c r="A39" s="164" t="s">
        <v>39</v>
      </c>
      <c r="B39" s="160"/>
      <c r="C39" s="160"/>
      <c r="D39" s="160"/>
      <c r="E39" s="160"/>
      <c r="F39" s="160"/>
      <c r="G39" s="160"/>
      <c r="H39" s="160"/>
      <c r="I39" s="160"/>
      <c r="J39" s="160"/>
      <c r="K39" s="89"/>
      <c r="L39" s="89"/>
    </row>
    <row r="40" spans="2:12" ht="15.75" customHeight="1">
      <c r="B40" s="724" t="s">
        <v>48</v>
      </c>
      <c r="C40" s="724"/>
      <c r="D40" s="724"/>
      <c r="E40" s="724"/>
      <c r="F40" s="724"/>
      <c r="G40" s="724"/>
      <c r="H40" s="724"/>
      <c r="I40" s="724"/>
      <c r="J40" s="724"/>
      <c r="K40" s="724"/>
      <c r="L40" s="724"/>
    </row>
    <row r="41" spans="1:12" ht="16.5" customHeight="1">
      <c r="A41" s="165"/>
      <c r="B41" s="723" t="s">
        <v>50</v>
      </c>
      <c r="C41" s="723"/>
      <c r="D41" s="723"/>
      <c r="E41" s="723"/>
      <c r="F41" s="723"/>
      <c r="G41" s="723"/>
      <c r="H41" s="723"/>
      <c r="I41" s="723"/>
      <c r="J41" s="723"/>
      <c r="K41" s="723"/>
      <c r="L41" s="723"/>
    </row>
    <row r="42" ht="15.75">
      <c r="B42" s="38" t="s">
        <v>49</v>
      </c>
    </row>
  </sheetData>
  <sheetProtection/>
  <mergeCells count="38">
    <mergeCell ref="B41:L41"/>
    <mergeCell ref="B40:L40"/>
    <mergeCell ref="A14:B14"/>
    <mergeCell ref="A11:B11"/>
    <mergeCell ref="A29:D30"/>
    <mergeCell ref="H37:L37"/>
    <mergeCell ref="A37:D37"/>
    <mergeCell ref="B32:D32"/>
    <mergeCell ref="I32:K32"/>
    <mergeCell ref="A31:D31"/>
    <mergeCell ref="H29:L29"/>
    <mergeCell ref="H30:L30"/>
    <mergeCell ref="H31:L31"/>
    <mergeCell ref="A6:B10"/>
    <mergeCell ref="A13:B13"/>
    <mergeCell ref="A12:B12"/>
    <mergeCell ref="J9:L9"/>
    <mergeCell ref="J6:L8"/>
    <mergeCell ref="A3:C3"/>
    <mergeCell ref="D1:I3"/>
    <mergeCell ref="J5:L5"/>
    <mergeCell ref="D4:I4"/>
    <mergeCell ref="A4:C4"/>
    <mergeCell ref="J1:L1"/>
    <mergeCell ref="J2:L2"/>
    <mergeCell ref="J3:L3"/>
    <mergeCell ref="J4:L4"/>
    <mergeCell ref="A2:C2"/>
    <mergeCell ref="A1:C1"/>
    <mergeCell ref="M6:M10"/>
    <mergeCell ref="N6:N10"/>
    <mergeCell ref="C6:C10"/>
    <mergeCell ref="E9:E10"/>
    <mergeCell ref="D6:I6"/>
    <mergeCell ref="E8:I8"/>
    <mergeCell ref="D8:D10"/>
    <mergeCell ref="F9:I9"/>
    <mergeCell ref="D7:I7"/>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84" customWidth="1"/>
    <col min="2" max="2" width="18.25390625" style="184" customWidth="1"/>
    <col min="3" max="3" width="10.625" style="184" customWidth="1"/>
    <col min="4" max="4" width="6.875" style="184" customWidth="1"/>
    <col min="5" max="8" width="5.00390625" style="184" customWidth="1"/>
    <col min="9" max="9" width="4.75390625" style="184" customWidth="1"/>
    <col min="10" max="10" width="5.00390625" style="184" customWidth="1"/>
    <col min="11" max="11" width="5.75390625" style="184" customWidth="1"/>
    <col min="12" max="12" width="5.375" style="184" customWidth="1"/>
    <col min="13" max="13" width="5.00390625" style="184" customWidth="1"/>
    <col min="14" max="14" width="5.375" style="184" customWidth="1"/>
    <col min="15" max="15" width="5.00390625" style="184" customWidth="1"/>
    <col min="16" max="16" width="5.75390625" style="184" customWidth="1"/>
    <col min="17" max="20" width="5.00390625" style="184" customWidth="1"/>
    <col min="21" max="16384" width="8.00390625" style="184" customWidth="1"/>
  </cols>
  <sheetData>
    <row r="1" spans="1:21" ht="16.5" customHeight="1">
      <c r="A1" s="747" t="s">
        <v>129</v>
      </c>
      <c r="B1" s="747"/>
      <c r="C1" s="747"/>
      <c r="D1" s="742" t="s">
        <v>310</v>
      </c>
      <c r="E1" s="743"/>
      <c r="F1" s="743"/>
      <c r="G1" s="743"/>
      <c r="H1" s="743"/>
      <c r="I1" s="743"/>
      <c r="J1" s="743"/>
      <c r="K1" s="743"/>
      <c r="L1" s="743"/>
      <c r="M1" s="743"/>
      <c r="N1" s="743"/>
      <c r="O1" s="212"/>
      <c r="P1" s="169" t="s">
        <v>360</v>
      </c>
      <c r="Q1" s="168"/>
      <c r="R1" s="168"/>
      <c r="S1" s="168"/>
      <c r="T1" s="168"/>
      <c r="U1" s="212"/>
    </row>
    <row r="2" spans="1:21" ht="16.5" customHeight="1">
      <c r="A2" s="744" t="s">
        <v>311</v>
      </c>
      <c r="B2" s="744"/>
      <c r="C2" s="744"/>
      <c r="D2" s="743"/>
      <c r="E2" s="743"/>
      <c r="F2" s="743"/>
      <c r="G2" s="743"/>
      <c r="H2" s="743"/>
      <c r="I2" s="743"/>
      <c r="J2" s="743"/>
      <c r="K2" s="743"/>
      <c r="L2" s="743"/>
      <c r="M2" s="743"/>
      <c r="N2" s="743"/>
      <c r="O2" s="213"/>
      <c r="P2" s="735" t="s">
        <v>312</v>
      </c>
      <c r="Q2" s="735"/>
      <c r="R2" s="735"/>
      <c r="S2" s="735"/>
      <c r="T2" s="735"/>
      <c r="U2" s="213"/>
    </row>
    <row r="3" spans="1:21" ht="16.5" customHeight="1">
      <c r="A3" s="763" t="s">
        <v>313</v>
      </c>
      <c r="B3" s="763"/>
      <c r="C3" s="763"/>
      <c r="D3" s="748" t="s">
        <v>314</v>
      </c>
      <c r="E3" s="748"/>
      <c r="F3" s="748"/>
      <c r="G3" s="748"/>
      <c r="H3" s="748"/>
      <c r="I3" s="748"/>
      <c r="J3" s="748"/>
      <c r="K3" s="748"/>
      <c r="L3" s="748"/>
      <c r="M3" s="748"/>
      <c r="N3" s="748"/>
      <c r="O3" s="213"/>
      <c r="P3" s="173" t="s">
        <v>359</v>
      </c>
      <c r="Q3" s="213"/>
      <c r="R3" s="213"/>
      <c r="S3" s="213"/>
      <c r="T3" s="213"/>
      <c r="U3" s="213"/>
    </row>
    <row r="4" spans="1:21" ht="16.5" customHeight="1">
      <c r="A4" s="749" t="s">
        <v>253</v>
      </c>
      <c r="B4" s="749"/>
      <c r="C4" s="749"/>
      <c r="D4" s="770"/>
      <c r="E4" s="770"/>
      <c r="F4" s="770"/>
      <c r="G4" s="770"/>
      <c r="H4" s="770"/>
      <c r="I4" s="770"/>
      <c r="J4" s="770"/>
      <c r="K4" s="770"/>
      <c r="L4" s="770"/>
      <c r="M4" s="770"/>
      <c r="N4" s="770"/>
      <c r="O4" s="213"/>
      <c r="P4" s="172" t="s">
        <v>292</v>
      </c>
      <c r="Q4" s="213"/>
      <c r="R4" s="213"/>
      <c r="S4" s="213"/>
      <c r="T4" s="213"/>
      <c r="U4" s="213"/>
    </row>
    <row r="5" spans="12:21" ht="16.5" customHeight="1">
      <c r="L5" s="214"/>
      <c r="M5" s="214"/>
      <c r="N5" s="214"/>
      <c r="O5" s="176"/>
      <c r="P5" s="175" t="s">
        <v>315</v>
      </c>
      <c r="Q5" s="176"/>
      <c r="R5" s="176"/>
      <c r="S5" s="176"/>
      <c r="T5" s="176"/>
      <c r="U5" s="172"/>
    </row>
    <row r="6" spans="1:21" s="217" customFormat="1" ht="15.75" customHeight="1">
      <c r="A6" s="736" t="s">
        <v>55</v>
      </c>
      <c r="B6" s="737"/>
      <c r="C6" s="731" t="s">
        <v>130</v>
      </c>
      <c r="D6" s="745" t="s">
        <v>131</v>
      </c>
      <c r="E6" s="746"/>
      <c r="F6" s="746"/>
      <c r="G6" s="746"/>
      <c r="H6" s="746"/>
      <c r="I6" s="746"/>
      <c r="J6" s="746"/>
      <c r="K6" s="746"/>
      <c r="L6" s="746"/>
      <c r="M6" s="746"/>
      <c r="N6" s="746"/>
      <c r="O6" s="746"/>
      <c r="P6" s="746"/>
      <c r="Q6" s="746"/>
      <c r="R6" s="746"/>
      <c r="S6" s="746"/>
      <c r="T6" s="731" t="s">
        <v>132</v>
      </c>
      <c r="U6" s="216"/>
    </row>
    <row r="7" spans="1:20" s="218" customFormat="1" ht="12.75" customHeight="1">
      <c r="A7" s="738"/>
      <c r="B7" s="739"/>
      <c r="C7" s="731"/>
      <c r="D7" s="767" t="s">
        <v>127</v>
      </c>
      <c r="E7" s="746" t="s">
        <v>7</v>
      </c>
      <c r="F7" s="746"/>
      <c r="G7" s="746"/>
      <c r="H7" s="746"/>
      <c r="I7" s="746"/>
      <c r="J7" s="746"/>
      <c r="K7" s="746"/>
      <c r="L7" s="746"/>
      <c r="M7" s="746"/>
      <c r="N7" s="746"/>
      <c r="O7" s="746"/>
      <c r="P7" s="746"/>
      <c r="Q7" s="746"/>
      <c r="R7" s="746"/>
      <c r="S7" s="746"/>
      <c r="T7" s="731"/>
    </row>
    <row r="8" spans="1:21" s="218" customFormat="1" ht="43.5" customHeight="1">
      <c r="A8" s="738"/>
      <c r="B8" s="739"/>
      <c r="C8" s="731"/>
      <c r="D8" s="768"/>
      <c r="E8" s="734" t="s">
        <v>133</v>
      </c>
      <c r="F8" s="731"/>
      <c r="G8" s="731"/>
      <c r="H8" s="731" t="s">
        <v>134</v>
      </c>
      <c r="I8" s="731"/>
      <c r="J8" s="731"/>
      <c r="K8" s="731" t="s">
        <v>135</v>
      </c>
      <c r="L8" s="731"/>
      <c r="M8" s="731" t="s">
        <v>136</v>
      </c>
      <c r="N8" s="731"/>
      <c r="O8" s="731"/>
      <c r="P8" s="731" t="s">
        <v>137</v>
      </c>
      <c r="Q8" s="731" t="s">
        <v>138</v>
      </c>
      <c r="R8" s="731" t="s">
        <v>139</v>
      </c>
      <c r="S8" s="750" t="s">
        <v>140</v>
      </c>
      <c r="T8" s="731"/>
      <c r="U8" s="760" t="s">
        <v>316</v>
      </c>
    </row>
    <row r="9" spans="1:21" s="218" customFormat="1" ht="44.25" customHeight="1">
      <c r="A9" s="740"/>
      <c r="B9" s="741"/>
      <c r="C9" s="731"/>
      <c r="D9" s="769"/>
      <c r="E9" s="219" t="s">
        <v>141</v>
      </c>
      <c r="F9" s="215" t="s">
        <v>142</v>
      </c>
      <c r="G9" s="215" t="s">
        <v>317</v>
      </c>
      <c r="H9" s="215" t="s">
        <v>143</v>
      </c>
      <c r="I9" s="215" t="s">
        <v>144</v>
      </c>
      <c r="J9" s="215" t="s">
        <v>145</v>
      </c>
      <c r="K9" s="215" t="s">
        <v>142</v>
      </c>
      <c r="L9" s="215" t="s">
        <v>146</v>
      </c>
      <c r="M9" s="215" t="s">
        <v>147</v>
      </c>
      <c r="N9" s="215" t="s">
        <v>148</v>
      </c>
      <c r="O9" s="215" t="s">
        <v>318</v>
      </c>
      <c r="P9" s="731"/>
      <c r="Q9" s="731"/>
      <c r="R9" s="731"/>
      <c r="S9" s="750"/>
      <c r="T9" s="731"/>
      <c r="U9" s="761"/>
    </row>
    <row r="10" spans="1:21" s="222" customFormat="1" ht="15.75" customHeight="1">
      <c r="A10" s="764" t="s">
        <v>6</v>
      </c>
      <c r="B10" s="765"/>
      <c r="C10" s="220">
        <v>1</v>
      </c>
      <c r="D10" s="220">
        <v>2</v>
      </c>
      <c r="E10" s="221">
        <v>3</v>
      </c>
      <c r="F10" s="221">
        <v>4</v>
      </c>
      <c r="G10" s="221">
        <v>5</v>
      </c>
      <c r="H10" s="221">
        <v>6</v>
      </c>
      <c r="I10" s="221">
        <v>7</v>
      </c>
      <c r="J10" s="221">
        <v>8</v>
      </c>
      <c r="K10" s="221">
        <v>9</v>
      </c>
      <c r="L10" s="221">
        <v>10</v>
      </c>
      <c r="M10" s="221">
        <v>11</v>
      </c>
      <c r="N10" s="221">
        <v>12</v>
      </c>
      <c r="O10" s="221">
        <v>13</v>
      </c>
      <c r="P10" s="221">
        <v>14</v>
      </c>
      <c r="Q10" s="221">
        <v>15</v>
      </c>
      <c r="R10" s="221">
        <v>16</v>
      </c>
      <c r="S10" s="221">
        <v>17</v>
      </c>
      <c r="T10" s="221">
        <v>18</v>
      </c>
      <c r="U10" s="761"/>
    </row>
    <row r="11" spans="1:21" s="222" customFormat="1" ht="15.75" customHeight="1">
      <c r="A11" s="732" t="s">
        <v>296</v>
      </c>
      <c r="B11" s="733"/>
      <c r="C11" s="223">
        <f aca="true" t="shared" si="0" ref="C11:T11">C13-C12</f>
        <v>-2</v>
      </c>
      <c r="D11" s="223">
        <f t="shared" si="0"/>
        <v>0</v>
      </c>
      <c r="E11" s="223">
        <f t="shared" si="0"/>
        <v>0</v>
      </c>
      <c r="F11" s="223">
        <f t="shared" si="0"/>
        <v>8</v>
      </c>
      <c r="G11" s="223">
        <f t="shared" si="0"/>
        <v>-4</v>
      </c>
      <c r="H11" s="223">
        <f t="shared" si="0"/>
        <v>0</v>
      </c>
      <c r="I11" s="223">
        <f t="shared" si="0"/>
        <v>0</v>
      </c>
      <c r="J11" s="223">
        <f t="shared" si="0"/>
        <v>0</v>
      </c>
      <c r="K11" s="223">
        <f t="shared" si="0"/>
        <v>0</v>
      </c>
      <c r="L11" s="223">
        <f t="shared" si="0"/>
        <v>-3</v>
      </c>
      <c r="M11" s="223">
        <f t="shared" si="0"/>
        <v>0</v>
      </c>
      <c r="N11" s="223">
        <f t="shared" si="0"/>
        <v>1</v>
      </c>
      <c r="O11" s="223">
        <f t="shared" si="0"/>
        <v>-1</v>
      </c>
      <c r="P11" s="223">
        <f t="shared" si="0"/>
        <v>0</v>
      </c>
      <c r="Q11" s="223">
        <f t="shared" si="0"/>
        <v>0</v>
      </c>
      <c r="R11" s="223">
        <f t="shared" si="0"/>
        <v>0</v>
      </c>
      <c r="S11" s="223">
        <f t="shared" si="0"/>
        <v>-1</v>
      </c>
      <c r="T11" s="223">
        <f t="shared" si="0"/>
        <v>-2</v>
      </c>
      <c r="U11" s="762"/>
    </row>
    <row r="12" spans="1:21" s="222" customFormat="1" ht="15.75" customHeight="1">
      <c r="A12" s="751" t="s">
        <v>297</v>
      </c>
      <c r="B12" s="752"/>
      <c r="C12" s="224">
        <v>125</v>
      </c>
      <c r="D12" s="224">
        <v>122</v>
      </c>
      <c r="E12" s="224">
        <v>0</v>
      </c>
      <c r="F12" s="224">
        <v>3</v>
      </c>
      <c r="G12" s="224">
        <v>43</v>
      </c>
      <c r="H12" s="224">
        <v>0</v>
      </c>
      <c r="I12" s="224">
        <v>0</v>
      </c>
      <c r="J12" s="224">
        <v>8</v>
      </c>
      <c r="K12" s="224">
        <v>4</v>
      </c>
      <c r="L12" s="224">
        <v>10</v>
      </c>
      <c r="M12" s="224">
        <v>0</v>
      </c>
      <c r="N12" s="224">
        <v>0</v>
      </c>
      <c r="O12" s="224">
        <v>20</v>
      </c>
      <c r="P12" s="224">
        <v>2</v>
      </c>
      <c r="Q12" s="224">
        <v>16</v>
      </c>
      <c r="R12" s="224">
        <v>0</v>
      </c>
      <c r="S12" s="224">
        <v>16</v>
      </c>
      <c r="T12" s="224">
        <v>3</v>
      </c>
      <c r="U12" s="225">
        <f>D12-'Báo cáo chất lượng CB Mẫu 14'!C14</f>
        <v>0</v>
      </c>
    </row>
    <row r="13" spans="1:21" s="222" customFormat="1" ht="15.75" customHeight="1">
      <c r="A13" s="757" t="s">
        <v>30</v>
      </c>
      <c r="B13" s="758"/>
      <c r="C13" s="226">
        <f aca="true" t="shared" si="1" ref="C13:T13">C14+C15</f>
        <v>123</v>
      </c>
      <c r="D13" s="226">
        <f t="shared" si="1"/>
        <v>122</v>
      </c>
      <c r="E13" s="226">
        <f t="shared" si="1"/>
        <v>0</v>
      </c>
      <c r="F13" s="226">
        <f t="shared" si="1"/>
        <v>11</v>
      </c>
      <c r="G13" s="226">
        <f t="shared" si="1"/>
        <v>39</v>
      </c>
      <c r="H13" s="226">
        <f t="shared" si="1"/>
        <v>0</v>
      </c>
      <c r="I13" s="226">
        <f t="shared" si="1"/>
        <v>0</v>
      </c>
      <c r="J13" s="226">
        <f t="shared" si="1"/>
        <v>8</v>
      </c>
      <c r="K13" s="226">
        <f t="shared" si="1"/>
        <v>4</v>
      </c>
      <c r="L13" s="226">
        <f t="shared" si="1"/>
        <v>7</v>
      </c>
      <c r="M13" s="226">
        <f t="shared" si="1"/>
        <v>0</v>
      </c>
      <c r="N13" s="226">
        <f t="shared" si="1"/>
        <v>1</v>
      </c>
      <c r="O13" s="226">
        <f t="shared" si="1"/>
        <v>19</v>
      </c>
      <c r="P13" s="226">
        <f t="shared" si="1"/>
        <v>2</v>
      </c>
      <c r="Q13" s="226">
        <f t="shared" si="1"/>
        <v>16</v>
      </c>
      <c r="R13" s="226">
        <f t="shared" si="1"/>
        <v>0</v>
      </c>
      <c r="S13" s="226">
        <f t="shared" si="1"/>
        <v>15</v>
      </c>
      <c r="T13" s="226">
        <f t="shared" si="1"/>
        <v>1</v>
      </c>
      <c r="U13" s="225">
        <f>D13-'Báo cáo chất lượng CB Mẫu 14'!C14</f>
        <v>0</v>
      </c>
    </row>
    <row r="14" spans="1:21" s="222" customFormat="1" ht="15.75" customHeight="1">
      <c r="A14" s="227" t="s">
        <v>0</v>
      </c>
      <c r="B14" s="179" t="s">
        <v>78</v>
      </c>
      <c r="C14" s="226">
        <f aca="true" t="shared" si="2" ref="C14:C26">D14+T14</f>
        <v>25</v>
      </c>
      <c r="D14" s="226">
        <f aca="true" t="shared" si="3" ref="D14:D26">SUM(E14:S14)</f>
        <v>25</v>
      </c>
      <c r="E14" s="228"/>
      <c r="F14" s="228">
        <v>4</v>
      </c>
      <c r="G14" s="228">
        <v>5</v>
      </c>
      <c r="H14" s="228"/>
      <c r="I14" s="228"/>
      <c r="J14" s="228">
        <v>2</v>
      </c>
      <c r="K14" s="228"/>
      <c r="L14" s="228">
        <v>3</v>
      </c>
      <c r="M14" s="228"/>
      <c r="N14" s="228">
        <v>1</v>
      </c>
      <c r="O14" s="228">
        <v>5</v>
      </c>
      <c r="P14" s="228"/>
      <c r="Q14" s="228">
        <v>2</v>
      </c>
      <c r="R14" s="228"/>
      <c r="S14" s="228">
        <v>3</v>
      </c>
      <c r="T14" s="228">
        <v>0</v>
      </c>
      <c r="U14" s="225">
        <f>D14-'Báo cáo chất lượng CB Mẫu 14'!C15</f>
        <v>0</v>
      </c>
    </row>
    <row r="15" spans="1:21" s="222" customFormat="1" ht="15.75" customHeight="1">
      <c r="A15" s="229" t="s">
        <v>1</v>
      </c>
      <c r="B15" s="179" t="s">
        <v>17</v>
      </c>
      <c r="C15" s="226">
        <f t="shared" si="2"/>
        <v>98</v>
      </c>
      <c r="D15" s="226">
        <f t="shared" si="3"/>
        <v>97</v>
      </c>
      <c r="E15" s="226">
        <f aca="true" t="shared" si="4" ref="E15:T15">SUM(E16:E26)</f>
        <v>0</v>
      </c>
      <c r="F15" s="226">
        <f t="shared" si="4"/>
        <v>7</v>
      </c>
      <c r="G15" s="226">
        <f t="shared" si="4"/>
        <v>34</v>
      </c>
      <c r="H15" s="226">
        <f t="shared" si="4"/>
        <v>0</v>
      </c>
      <c r="I15" s="226">
        <f t="shared" si="4"/>
        <v>0</v>
      </c>
      <c r="J15" s="226">
        <f t="shared" si="4"/>
        <v>6</v>
      </c>
      <c r="K15" s="226">
        <f t="shared" si="4"/>
        <v>4</v>
      </c>
      <c r="L15" s="226">
        <f t="shared" si="4"/>
        <v>4</v>
      </c>
      <c r="M15" s="226">
        <f t="shared" si="4"/>
        <v>0</v>
      </c>
      <c r="N15" s="226">
        <f t="shared" si="4"/>
        <v>0</v>
      </c>
      <c r="O15" s="226">
        <f t="shared" si="4"/>
        <v>14</v>
      </c>
      <c r="P15" s="226">
        <f t="shared" si="4"/>
        <v>2</v>
      </c>
      <c r="Q15" s="226">
        <f t="shared" si="4"/>
        <v>14</v>
      </c>
      <c r="R15" s="226">
        <f t="shared" si="4"/>
        <v>0</v>
      </c>
      <c r="S15" s="226">
        <f t="shared" si="4"/>
        <v>12</v>
      </c>
      <c r="T15" s="226">
        <f t="shared" si="4"/>
        <v>1</v>
      </c>
      <c r="U15" s="225">
        <f>D15-'Báo cáo chất lượng CB Mẫu 14'!C16</f>
        <v>0</v>
      </c>
    </row>
    <row r="16" spans="1:21" s="222" customFormat="1" ht="15.75" customHeight="1">
      <c r="A16" s="230" t="s">
        <v>43</v>
      </c>
      <c r="B16" s="68" t="s">
        <v>266</v>
      </c>
      <c r="C16" s="226">
        <f t="shared" si="2"/>
        <v>9</v>
      </c>
      <c r="D16" s="226">
        <f t="shared" si="3"/>
        <v>8</v>
      </c>
      <c r="E16" s="231"/>
      <c r="F16" s="231"/>
      <c r="G16" s="231">
        <v>5</v>
      </c>
      <c r="H16" s="231"/>
      <c r="I16" s="231"/>
      <c r="J16" s="231"/>
      <c r="K16" s="231"/>
      <c r="L16" s="231"/>
      <c r="M16" s="231"/>
      <c r="N16" s="231"/>
      <c r="O16" s="231">
        <v>1</v>
      </c>
      <c r="P16" s="231"/>
      <c r="Q16" s="231">
        <v>1</v>
      </c>
      <c r="R16" s="231"/>
      <c r="S16" s="231">
        <v>1</v>
      </c>
      <c r="T16" s="231">
        <v>1</v>
      </c>
      <c r="U16" s="225">
        <f>D16-'Báo cáo chất lượng CB Mẫu 14'!C17</f>
        <v>0</v>
      </c>
    </row>
    <row r="17" spans="1:21" s="222" customFormat="1" ht="15.75" customHeight="1">
      <c r="A17" s="230" t="s">
        <v>44</v>
      </c>
      <c r="B17" s="68" t="s">
        <v>298</v>
      </c>
      <c r="C17" s="226">
        <f t="shared" si="2"/>
        <v>7</v>
      </c>
      <c r="D17" s="226">
        <f t="shared" si="3"/>
        <v>7</v>
      </c>
      <c r="E17" s="231"/>
      <c r="F17" s="231"/>
      <c r="G17" s="231">
        <v>3</v>
      </c>
      <c r="H17" s="231"/>
      <c r="I17" s="231"/>
      <c r="J17" s="231">
        <v>1</v>
      </c>
      <c r="K17" s="231"/>
      <c r="L17" s="231"/>
      <c r="M17" s="231"/>
      <c r="N17" s="231"/>
      <c r="O17" s="231">
        <v>1</v>
      </c>
      <c r="P17" s="231"/>
      <c r="Q17" s="231">
        <v>1</v>
      </c>
      <c r="R17" s="231"/>
      <c r="S17" s="231">
        <v>1</v>
      </c>
      <c r="T17" s="231">
        <v>0</v>
      </c>
      <c r="U17" s="225">
        <f>D17-'Báo cáo chất lượng CB Mẫu 14'!C18</f>
        <v>0</v>
      </c>
    </row>
    <row r="18" spans="1:21" s="222" customFormat="1" ht="15.75" customHeight="1">
      <c r="A18" s="230" t="s">
        <v>47</v>
      </c>
      <c r="B18" s="68" t="s">
        <v>269</v>
      </c>
      <c r="C18" s="226">
        <f t="shared" si="2"/>
        <v>14</v>
      </c>
      <c r="D18" s="226">
        <f t="shared" si="3"/>
        <v>14</v>
      </c>
      <c r="E18" s="231"/>
      <c r="F18" s="231"/>
      <c r="G18" s="231">
        <v>8</v>
      </c>
      <c r="H18" s="231"/>
      <c r="I18" s="231"/>
      <c r="J18" s="231">
        <v>1</v>
      </c>
      <c r="K18" s="231"/>
      <c r="L18" s="231">
        <v>1</v>
      </c>
      <c r="M18" s="231"/>
      <c r="N18" s="231"/>
      <c r="O18" s="231">
        <v>1</v>
      </c>
      <c r="P18" s="231"/>
      <c r="Q18" s="231">
        <v>2</v>
      </c>
      <c r="R18" s="231"/>
      <c r="S18" s="231">
        <v>1</v>
      </c>
      <c r="T18" s="231">
        <v>0</v>
      </c>
      <c r="U18" s="225">
        <f>D18-'Báo cáo chất lượng CB Mẫu 14'!C19</f>
        <v>0</v>
      </c>
    </row>
    <row r="19" spans="1:21" s="222" customFormat="1" ht="15.75" customHeight="1">
      <c r="A19" s="230" t="s">
        <v>56</v>
      </c>
      <c r="B19" s="68" t="s">
        <v>270</v>
      </c>
      <c r="C19" s="226">
        <f t="shared" si="2"/>
        <v>7</v>
      </c>
      <c r="D19" s="226">
        <f t="shared" si="3"/>
        <v>7</v>
      </c>
      <c r="E19" s="231"/>
      <c r="F19" s="231"/>
      <c r="G19" s="231">
        <v>2</v>
      </c>
      <c r="H19" s="231"/>
      <c r="I19" s="231"/>
      <c r="J19" s="231"/>
      <c r="K19" s="231">
        <v>1</v>
      </c>
      <c r="L19" s="231"/>
      <c r="M19" s="231"/>
      <c r="N19" s="231"/>
      <c r="O19" s="231">
        <v>1</v>
      </c>
      <c r="P19" s="231"/>
      <c r="Q19" s="231">
        <v>2</v>
      </c>
      <c r="R19" s="231"/>
      <c r="S19" s="231">
        <v>1</v>
      </c>
      <c r="T19" s="231">
        <v>0</v>
      </c>
      <c r="U19" s="225">
        <f>D19-'Báo cáo chất lượng CB Mẫu 14'!C20</f>
        <v>0</v>
      </c>
    </row>
    <row r="20" spans="1:21" s="222" customFormat="1" ht="17.25" customHeight="1">
      <c r="A20" s="230" t="s">
        <v>57</v>
      </c>
      <c r="B20" s="68" t="s">
        <v>271</v>
      </c>
      <c r="C20" s="226">
        <f t="shared" si="2"/>
        <v>8</v>
      </c>
      <c r="D20" s="226">
        <f t="shared" si="3"/>
        <v>8</v>
      </c>
      <c r="E20" s="231"/>
      <c r="F20" s="231">
        <v>1</v>
      </c>
      <c r="G20" s="231">
        <v>2</v>
      </c>
      <c r="H20" s="231"/>
      <c r="I20" s="231"/>
      <c r="J20" s="231"/>
      <c r="K20" s="231">
        <v>1</v>
      </c>
      <c r="L20" s="231">
        <v>1</v>
      </c>
      <c r="M20" s="231"/>
      <c r="N20" s="231"/>
      <c r="O20" s="231">
        <v>1</v>
      </c>
      <c r="P20" s="231"/>
      <c r="Q20" s="231">
        <v>1</v>
      </c>
      <c r="R20" s="231"/>
      <c r="S20" s="231">
        <v>1</v>
      </c>
      <c r="T20" s="231">
        <v>0</v>
      </c>
      <c r="U20" s="225">
        <f>D20-'Báo cáo chất lượng CB Mẫu 14'!C21</f>
        <v>0</v>
      </c>
    </row>
    <row r="21" spans="1:21" s="222" customFormat="1" ht="15.75" customHeight="1">
      <c r="A21" s="230" t="s">
        <v>58</v>
      </c>
      <c r="B21" s="68" t="s">
        <v>272</v>
      </c>
      <c r="C21" s="226">
        <f t="shared" si="2"/>
        <v>10</v>
      </c>
      <c r="D21" s="226">
        <f t="shared" si="3"/>
        <v>10</v>
      </c>
      <c r="E21" s="231"/>
      <c r="F21" s="231">
        <v>1</v>
      </c>
      <c r="G21" s="231">
        <v>2</v>
      </c>
      <c r="H21" s="231"/>
      <c r="I21" s="231"/>
      <c r="J21" s="231"/>
      <c r="K21" s="231">
        <v>1</v>
      </c>
      <c r="L21" s="231"/>
      <c r="M21" s="231"/>
      <c r="N21" s="231"/>
      <c r="O21" s="231">
        <v>4</v>
      </c>
      <c r="P21" s="231"/>
      <c r="Q21" s="231">
        <v>1</v>
      </c>
      <c r="R21" s="231"/>
      <c r="S21" s="231">
        <v>1</v>
      </c>
      <c r="T21" s="231">
        <v>0</v>
      </c>
      <c r="U21" s="225">
        <f>D21-'Báo cáo chất lượng CB Mẫu 14'!C22</f>
        <v>0</v>
      </c>
    </row>
    <row r="22" spans="1:21" s="222" customFormat="1" ht="15.75" customHeight="1">
      <c r="A22" s="230" t="s">
        <v>59</v>
      </c>
      <c r="B22" s="68" t="s">
        <v>277</v>
      </c>
      <c r="C22" s="226">
        <f t="shared" si="2"/>
        <v>7</v>
      </c>
      <c r="D22" s="226">
        <f t="shared" si="3"/>
        <v>7</v>
      </c>
      <c r="E22" s="231"/>
      <c r="F22" s="231">
        <v>1</v>
      </c>
      <c r="G22" s="231">
        <v>1</v>
      </c>
      <c r="H22" s="231"/>
      <c r="I22" s="231"/>
      <c r="J22" s="231"/>
      <c r="K22" s="231"/>
      <c r="L22" s="231"/>
      <c r="M22" s="231"/>
      <c r="N22" s="231"/>
      <c r="O22" s="231">
        <v>2</v>
      </c>
      <c r="P22" s="231"/>
      <c r="Q22" s="231">
        <v>1</v>
      </c>
      <c r="R22" s="231"/>
      <c r="S22" s="231">
        <v>2</v>
      </c>
      <c r="T22" s="231">
        <v>0</v>
      </c>
      <c r="U22" s="225">
        <f>D22-'Báo cáo chất lượng CB Mẫu 14'!C23</f>
        <v>0</v>
      </c>
    </row>
    <row r="23" spans="1:21" s="222" customFormat="1" ht="15.75" customHeight="1">
      <c r="A23" s="230" t="s">
        <v>60</v>
      </c>
      <c r="B23" s="68" t="s">
        <v>279</v>
      </c>
      <c r="C23" s="226">
        <f t="shared" si="2"/>
        <v>9</v>
      </c>
      <c r="D23" s="226">
        <f t="shared" si="3"/>
        <v>9</v>
      </c>
      <c r="E23" s="231"/>
      <c r="F23" s="231">
        <v>1</v>
      </c>
      <c r="G23" s="231">
        <v>1</v>
      </c>
      <c r="H23" s="231"/>
      <c r="I23" s="231"/>
      <c r="J23" s="231">
        <v>1</v>
      </c>
      <c r="K23" s="231">
        <v>1</v>
      </c>
      <c r="L23" s="231">
        <v>1</v>
      </c>
      <c r="M23" s="231"/>
      <c r="N23" s="231"/>
      <c r="O23" s="231">
        <v>1</v>
      </c>
      <c r="P23" s="231">
        <v>1</v>
      </c>
      <c r="Q23" s="231">
        <v>1</v>
      </c>
      <c r="R23" s="231"/>
      <c r="S23" s="231">
        <v>1</v>
      </c>
      <c r="T23" s="231">
        <v>0</v>
      </c>
      <c r="U23" s="225">
        <f>D23-'Báo cáo chất lượng CB Mẫu 14'!C24</f>
        <v>0</v>
      </c>
    </row>
    <row r="24" spans="1:21" s="222" customFormat="1" ht="15.75" customHeight="1">
      <c r="A24" s="230" t="s">
        <v>61</v>
      </c>
      <c r="B24" s="68" t="s">
        <v>280</v>
      </c>
      <c r="C24" s="226">
        <f t="shared" si="2"/>
        <v>11</v>
      </c>
      <c r="D24" s="226">
        <f t="shared" si="3"/>
        <v>11</v>
      </c>
      <c r="E24" s="231"/>
      <c r="F24" s="231">
        <v>1</v>
      </c>
      <c r="G24" s="231">
        <v>3</v>
      </c>
      <c r="H24" s="231"/>
      <c r="I24" s="231"/>
      <c r="J24" s="231">
        <v>1</v>
      </c>
      <c r="K24" s="231"/>
      <c r="L24" s="231">
        <v>1</v>
      </c>
      <c r="M24" s="231"/>
      <c r="N24" s="231"/>
      <c r="O24" s="231">
        <v>1</v>
      </c>
      <c r="P24" s="231">
        <v>1</v>
      </c>
      <c r="Q24" s="231">
        <v>2</v>
      </c>
      <c r="R24" s="231"/>
      <c r="S24" s="231">
        <v>1</v>
      </c>
      <c r="T24" s="231">
        <v>0</v>
      </c>
      <c r="U24" s="225">
        <f>D24-'Báo cáo chất lượng CB Mẫu 14'!C25</f>
        <v>0</v>
      </c>
    </row>
    <row r="25" spans="1:21" s="222" customFormat="1" ht="15.75" customHeight="1">
      <c r="A25" s="230" t="s">
        <v>81</v>
      </c>
      <c r="B25" s="68" t="s">
        <v>281</v>
      </c>
      <c r="C25" s="226">
        <f t="shared" si="2"/>
        <v>8</v>
      </c>
      <c r="D25" s="226">
        <f t="shared" si="3"/>
        <v>8</v>
      </c>
      <c r="E25" s="231"/>
      <c r="F25" s="231">
        <v>1</v>
      </c>
      <c r="G25" s="231">
        <v>3</v>
      </c>
      <c r="H25" s="231"/>
      <c r="I25" s="231"/>
      <c r="J25" s="231">
        <v>1</v>
      </c>
      <c r="K25" s="231"/>
      <c r="L25" s="231"/>
      <c r="M25" s="231"/>
      <c r="N25" s="231"/>
      <c r="O25" s="231">
        <v>1</v>
      </c>
      <c r="P25" s="231"/>
      <c r="Q25" s="231">
        <v>1</v>
      </c>
      <c r="R25" s="231"/>
      <c r="S25" s="231">
        <v>1</v>
      </c>
      <c r="T25" s="231">
        <v>0</v>
      </c>
      <c r="U25" s="225">
        <f>D25-'Báo cáo chất lượng CB Mẫu 14'!C26</f>
        <v>0</v>
      </c>
    </row>
    <row r="26" spans="1:21" s="222" customFormat="1" ht="15.75" customHeight="1">
      <c r="A26" s="230" t="s">
        <v>82</v>
      </c>
      <c r="B26" s="68" t="s">
        <v>283</v>
      </c>
      <c r="C26" s="226">
        <f t="shared" si="2"/>
        <v>8</v>
      </c>
      <c r="D26" s="226">
        <f t="shared" si="3"/>
        <v>8</v>
      </c>
      <c r="E26" s="231"/>
      <c r="F26" s="231">
        <v>1</v>
      </c>
      <c r="G26" s="231">
        <v>4</v>
      </c>
      <c r="H26" s="231"/>
      <c r="I26" s="231"/>
      <c r="J26" s="231">
        <v>1</v>
      </c>
      <c r="K26" s="231"/>
      <c r="L26" s="231"/>
      <c r="M26" s="231"/>
      <c r="N26" s="231"/>
      <c r="O26" s="231"/>
      <c r="P26" s="231"/>
      <c r="Q26" s="231">
        <v>1</v>
      </c>
      <c r="R26" s="231"/>
      <c r="S26" s="231">
        <v>1</v>
      </c>
      <c r="T26" s="231">
        <v>0</v>
      </c>
      <c r="U26" s="225">
        <f>D26-'Báo cáo chất lượng CB Mẫu 14'!C27</f>
        <v>0</v>
      </c>
    </row>
    <row r="27" ht="6" customHeight="1"/>
    <row r="28" spans="1:20" s="233" customFormat="1" ht="15.75" customHeight="1">
      <c r="A28" s="232"/>
      <c r="B28" s="766" t="s">
        <v>284</v>
      </c>
      <c r="C28" s="766"/>
      <c r="D28" s="766"/>
      <c r="E28" s="766"/>
      <c r="F28" s="181"/>
      <c r="G28" s="181"/>
      <c r="H28" s="181"/>
      <c r="I28" s="181"/>
      <c r="J28" s="181"/>
      <c r="K28" s="181" t="s">
        <v>149</v>
      </c>
      <c r="L28" s="182"/>
      <c r="M28" s="771" t="s">
        <v>319</v>
      </c>
      <c r="N28" s="771"/>
      <c r="O28" s="771"/>
      <c r="P28" s="771"/>
      <c r="Q28" s="771"/>
      <c r="R28" s="771"/>
      <c r="S28" s="771"/>
      <c r="T28" s="771"/>
    </row>
    <row r="29" spans="1:20" s="233" customFormat="1" ht="18.75" customHeight="1">
      <c r="A29" s="232"/>
      <c r="B29" s="756" t="s">
        <v>150</v>
      </c>
      <c r="C29" s="756"/>
      <c r="D29" s="756"/>
      <c r="E29" s="234"/>
      <c r="F29" s="183"/>
      <c r="G29" s="183"/>
      <c r="H29" s="183"/>
      <c r="I29" s="183"/>
      <c r="J29" s="183"/>
      <c r="K29" s="183"/>
      <c r="L29" s="182"/>
      <c r="M29" s="759" t="s">
        <v>308</v>
      </c>
      <c r="N29" s="759"/>
      <c r="O29" s="759"/>
      <c r="P29" s="759"/>
      <c r="Q29" s="759"/>
      <c r="R29" s="759"/>
      <c r="S29" s="759"/>
      <c r="T29" s="759"/>
    </row>
    <row r="30" spans="1:20" s="233" customFormat="1" ht="18.75">
      <c r="A30" s="184"/>
      <c r="B30" s="753"/>
      <c r="C30" s="753"/>
      <c r="D30" s="753"/>
      <c r="E30" s="186"/>
      <c r="F30" s="186"/>
      <c r="G30" s="186"/>
      <c r="H30" s="186"/>
      <c r="I30" s="186"/>
      <c r="J30" s="186"/>
      <c r="K30" s="186"/>
      <c r="L30" s="186"/>
      <c r="M30" s="754"/>
      <c r="N30" s="754"/>
      <c r="O30" s="754"/>
      <c r="P30" s="754"/>
      <c r="Q30" s="754"/>
      <c r="R30" s="754"/>
      <c r="S30" s="754"/>
      <c r="T30" s="754"/>
    </row>
    <row r="31" spans="1:20" s="233" customFormat="1" ht="18.75">
      <c r="A31" s="184"/>
      <c r="B31" s="186"/>
      <c r="C31" s="186"/>
      <c r="D31" s="186"/>
      <c r="E31" s="186"/>
      <c r="F31" s="186"/>
      <c r="G31" s="186"/>
      <c r="H31" s="186"/>
      <c r="I31" s="186"/>
      <c r="J31" s="186"/>
      <c r="K31" s="186"/>
      <c r="L31" s="186"/>
      <c r="M31" s="186"/>
      <c r="N31" s="186"/>
      <c r="O31" s="186"/>
      <c r="P31" s="186"/>
      <c r="Q31" s="182"/>
      <c r="R31" s="182"/>
      <c r="S31" s="182"/>
      <c r="T31" s="182"/>
    </row>
    <row r="32" spans="2:20" ht="13.5" customHeight="1" hidden="1">
      <c r="B32" s="186"/>
      <c r="C32" s="186"/>
      <c r="D32" s="186"/>
      <c r="E32" s="186"/>
      <c r="F32" s="186"/>
      <c r="G32" s="186"/>
      <c r="H32" s="186"/>
      <c r="I32" s="186"/>
      <c r="J32" s="186"/>
      <c r="K32" s="186"/>
      <c r="L32" s="186"/>
      <c r="M32" s="186"/>
      <c r="N32" s="186"/>
      <c r="O32" s="186"/>
      <c r="P32" s="186"/>
      <c r="Q32" s="186"/>
      <c r="R32" s="186"/>
      <c r="S32" s="186"/>
      <c r="T32" s="186"/>
    </row>
    <row r="33" spans="1:20" ht="18.75" hidden="1">
      <c r="A33" s="235" t="s">
        <v>152</v>
      </c>
      <c r="B33" s="186"/>
      <c r="C33" s="186"/>
      <c r="D33" s="186"/>
      <c r="E33" s="186"/>
      <c r="F33" s="186"/>
      <c r="G33" s="186"/>
      <c r="H33" s="186"/>
      <c r="I33" s="186"/>
      <c r="J33" s="186"/>
      <c r="K33" s="186"/>
      <c r="L33" s="186"/>
      <c r="M33" s="186"/>
      <c r="N33" s="186"/>
      <c r="O33" s="186"/>
      <c r="P33" s="186"/>
      <c r="Q33" s="186"/>
      <c r="R33" s="186"/>
      <c r="S33" s="186"/>
      <c r="T33" s="186"/>
    </row>
    <row r="34" spans="2:20" ht="18.75" hidden="1">
      <c r="B34" s="236" t="s">
        <v>153</v>
      </c>
      <c r="C34" s="186"/>
      <c r="D34" s="186"/>
      <c r="E34" s="186"/>
      <c r="F34" s="186"/>
      <c r="G34" s="186"/>
      <c r="H34" s="186"/>
      <c r="I34" s="186"/>
      <c r="J34" s="186"/>
      <c r="K34" s="186"/>
      <c r="L34" s="186"/>
      <c r="M34" s="186"/>
      <c r="N34" s="186"/>
      <c r="O34" s="186"/>
      <c r="P34" s="186"/>
      <c r="Q34" s="186"/>
      <c r="R34" s="186"/>
      <c r="S34" s="186"/>
      <c r="T34" s="186"/>
    </row>
    <row r="35" spans="2:20" ht="18.75" hidden="1">
      <c r="B35" s="236" t="s">
        <v>154</v>
      </c>
      <c r="C35" s="186"/>
      <c r="D35" s="186"/>
      <c r="E35" s="186"/>
      <c r="F35" s="186"/>
      <c r="G35" s="186"/>
      <c r="H35" s="186"/>
      <c r="I35" s="186"/>
      <c r="J35" s="186"/>
      <c r="K35" s="186"/>
      <c r="L35" s="186"/>
      <c r="M35" s="186"/>
      <c r="N35" s="186"/>
      <c r="O35" s="186"/>
      <c r="P35" s="186"/>
      <c r="Q35" s="186"/>
      <c r="R35" s="186"/>
      <c r="S35" s="186"/>
      <c r="T35" s="186"/>
    </row>
    <row r="36" spans="2:20" s="211" customFormat="1" ht="18.75">
      <c r="B36" s="755" t="s">
        <v>288</v>
      </c>
      <c r="C36" s="755"/>
      <c r="D36" s="755"/>
      <c r="E36" s="236"/>
      <c r="F36" s="236"/>
      <c r="G36" s="236"/>
      <c r="H36" s="236"/>
      <c r="I36" s="236"/>
      <c r="J36" s="236"/>
      <c r="K36" s="236"/>
      <c r="L36" s="236"/>
      <c r="M36" s="236"/>
      <c r="N36" s="755" t="s">
        <v>288</v>
      </c>
      <c r="O36" s="755"/>
      <c r="P36" s="755"/>
      <c r="Q36" s="755"/>
      <c r="R36" s="755"/>
      <c r="S36" s="755"/>
      <c r="T36" s="236"/>
    </row>
    <row r="37" spans="2:20" ht="18.75">
      <c r="B37" s="186"/>
      <c r="C37" s="186"/>
      <c r="D37" s="186"/>
      <c r="E37" s="186"/>
      <c r="F37" s="186"/>
      <c r="G37" s="186"/>
      <c r="H37" s="186"/>
      <c r="I37" s="186"/>
      <c r="J37" s="186"/>
      <c r="K37" s="186"/>
      <c r="L37" s="186"/>
      <c r="M37" s="186"/>
      <c r="N37" s="186"/>
      <c r="O37" s="186"/>
      <c r="P37" s="186"/>
      <c r="Q37" s="186"/>
      <c r="R37" s="186"/>
      <c r="S37" s="186"/>
      <c r="T37" s="186"/>
    </row>
    <row r="38" spans="2:21" ht="18.75">
      <c r="B38" s="650" t="s">
        <v>241</v>
      </c>
      <c r="C38" s="650"/>
      <c r="D38" s="650"/>
      <c r="E38" s="210"/>
      <c r="F38" s="210"/>
      <c r="G38" s="210"/>
      <c r="H38" s="210"/>
      <c r="I38" s="182"/>
      <c r="J38" s="182"/>
      <c r="K38" s="182"/>
      <c r="L38" s="182"/>
      <c r="M38" s="651" t="s">
        <v>242</v>
      </c>
      <c r="N38" s="651"/>
      <c r="O38" s="651"/>
      <c r="P38" s="651"/>
      <c r="Q38" s="651"/>
      <c r="R38" s="651"/>
      <c r="S38" s="651"/>
      <c r="T38" s="651"/>
      <c r="U38" s="163"/>
    </row>
    <row r="39" spans="2:20" ht="18.75">
      <c r="B39" s="186"/>
      <c r="C39" s="186"/>
      <c r="D39" s="186"/>
      <c r="E39" s="186"/>
      <c r="F39" s="186"/>
      <c r="G39" s="186"/>
      <c r="H39" s="186"/>
      <c r="I39" s="186"/>
      <c r="J39" s="186"/>
      <c r="K39" s="186"/>
      <c r="L39" s="186"/>
      <c r="M39" s="186"/>
      <c r="N39" s="186"/>
      <c r="O39" s="186"/>
      <c r="P39" s="186"/>
      <c r="Q39" s="186"/>
      <c r="R39" s="186"/>
      <c r="S39" s="186"/>
      <c r="T39" s="186"/>
    </row>
    <row r="40" spans="2:20" ht="18.75">
      <c r="B40" s="186"/>
      <c r="C40" s="186"/>
      <c r="D40" s="186"/>
      <c r="E40" s="186"/>
      <c r="F40" s="186"/>
      <c r="G40" s="186"/>
      <c r="H40" s="186"/>
      <c r="I40" s="186"/>
      <c r="J40" s="186"/>
      <c r="K40" s="186"/>
      <c r="L40" s="186"/>
      <c r="M40" s="186"/>
      <c r="N40" s="186"/>
      <c r="O40" s="186"/>
      <c r="P40" s="186"/>
      <c r="Q40" s="186"/>
      <c r="R40" s="186"/>
      <c r="S40" s="186"/>
      <c r="T40" s="186"/>
    </row>
  </sheetData>
  <sheetProtection/>
  <mergeCells count="37">
    <mergeCell ref="U8:U11"/>
    <mergeCell ref="A3:C3"/>
    <mergeCell ref="A10:B10"/>
    <mergeCell ref="B28:E28"/>
    <mergeCell ref="E7:S7"/>
    <mergeCell ref="R8:R9"/>
    <mergeCell ref="D7:D9"/>
    <mergeCell ref="D4:N4"/>
    <mergeCell ref="M28:T28"/>
    <mergeCell ref="T6:T9"/>
    <mergeCell ref="A12:B12"/>
    <mergeCell ref="B38:D38"/>
    <mergeCell ref="M38:T38"/>
    <mergeCell ref="B30:D30"/>
    <mergeCell ref="M30:T30"/>
    <mergeCell ref="B36:D36"/>
    <mergeCell ref="N36:S36"/>
    <mergeCell ref="B29:D29"/>
    <mergeCell ref="A13:B13"/>
    <mergeCell ref="M29:T29"/>
    <mergeCell ref="P2:T2"/>
    <mergeCell ref="A6:B9"/>
    <mergeCell ref="D1:N2"/>
    <mergeCell ref="A2:C2"/>
    <mergeCell ref="D6:S6"/>
    <mergeCell ref="A1:C1"/>
    <mergeCell ref="D3:N3"/>
    <mergeCell ref="A4:C4"/>
    <mergeCell ref="S8:S9"/>
    <mergeCell ref="H8:J8"/>
    <mergeCell ref="C6:C9"/>
    <mergeCell ref="A11:B11"/>
    <mergeCell ref="Q8:Q9"/>
    <mergeCell ref="M8:O8"/>
    <mergeCell ref="P8:P9"/>
    <mergeCell ref="E8:G8"/>
    <mergeCell ref="K8:L8"/>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196" customWidth="1"/>
    <col min="2" max="2" width="17.25390625" style="196" customWidth="1"/>
    <col min="3" max="3" width="9.625" style="196" customWidth="1"/>
    <col min="4" max="5" width="5.625" style="196" customWidth="1"/>
    <col min="6" max="7" width="6.25390625" style="196" customWidth="1"/>
    <col min="8" max="8" width="5.625" style="196" customWidth="1"/>
    <col min="9" max="9" width="6.00390625" style="196" customWidth="1"/>
    <col min="10" max="10" width="6.125" style="196" customWidth="1"/>
    <col min="11" max="12" width="5.625" style="196" customWidth="1"/>
    <col min="13" max="13" width="6.125" style="196" customWidth="1"/>
    <col min="14" max="15" width="6.25390625" style="196" customWidth="1"/>
    <col min="16" max="18" width="5.625" style="196" customWidth="1"/>
    <col min="19" max="19" width="5.875" style="196" customWidth="1"/>
    <col min="20" max="20" width="5.625" style="196" customWidth="1"/>
    <col min="21" max="28" width="8.00390625" style="196" customWidth="1"/>
    <col min="29" max="29" width="8.375" style="196" customWidth="1"/>
    <col min="30" max="30" width="8.00390625" style="196" customWidth="1"/>
    <col min="31" max="31" width="11.25390625" style="196" customWidth="1"/>
    <col min="32" max="32" width="13.50390625" style="196" customWidth="1"/>
    <col min="33" max="16384" width="8.00390625" style="196" customWidth="1"/>
  </cols>
  <sheetData>
    <row r="1" spans="1:20" ht="16.5">
      <c r="A1" s="779" t="s">
        <v>155</v>
      </c>
      <c r="B1" s="779"/>
      <c r="C1" s="779"/>
      <c r="D1" s="238"/>
      <c r="E1" s="784" t="s">
        <v>156</v>
      </c>
      <c r="F1" s="784"/>
      <c r="G1" s="784"/>
      <c r="H1" s="784"/>
      <c r="I1" s="784"/>
      <c r="J1" s="784"/>
      <c r="K1" s="784"/>
      <c r="L1" s="784"/>
      <c r="M1" s="784"/>
      <c r="N1" s="784"/>
      <c r="O1" s="191"/>
      <c r="P1" s="774" t="s">
        <v>358</v>
      </c>
      <c r="Q1" s="774"/>
      <c r="R1" s="774"/>
      <c r="S1" s="774"/>
      <c r="T1" s="774"/>
    </row>
    <row r="2" spans="1:20" ht="15.75" customHeight="1">
      <c r="A2" s="780" t="s">
        <v>320</v>
      </c>
      <c r="B2" s="780"/>
      <c r="C2" s="780"/>
      <c r="D2" s="780"/>
      <c r="E2" s="782" t="s">
        <v>157</v>
      </c>
      <c r="F2" s="782"/>
      <c r="G2" s="782"/>
      <c r="H2" s="782"/>
      <c r="I2" s="782"/>
      <c r="J2" s="782"/>
      <c r="K2" s="782"/>
      <c r="L2" s="782"/>
      <c r="M2" s="782"/>
      <c r="N2" s="782"/>
      <c r="O2" s="194"/>
      <c r="P2" s="775" t="s">
        <v>300</v>
      </c>
      <c r="Q2" s="775"/>
      <c r="R2" s="775"/>
      <c r="S2" s="775"/>
      <c r="T2" s="775"/>
    </row>
    <row r="3" spans="1:20" ht="17.25">
      <c r="A3" s="780" t="s">
        <v>251</v>
      </c>
      <c r="B3" s="780"/>
      <c r="C3" s="780"/>
      <c r="D3" s="239"/>
      <c r="E3" s="785" t="s">
        <v>252</v>
      </c>
      <c r="F3" s="785"/>
      <c r="G3" s="785"/>
      <c r="H3" s="785"/>
      <c r="I3" s="785"/>
      <c r="J3" s="785"/>
      <c r="K3" s="785"/>
      <c r="L3" s="785"/>
      <c r="M3" s="785"/>
      <c r="N3" s="785"/>
      <c r="O3" s="194"/>
      <c r="P3" s="776" t="s">
        <v>359</v>
      </c>
      <c r="Q3" s="776"/>
      <c r="R3" s="776"/>
      <c r="S3" s="776"/>
      <c r="T3" s="776"/>
    </row>
    <row r="4" spans="1:20" ht="18.75" customHeight="1">
      <c r="A4" s="781" t="s">
        <v>253</v>
      </c>
      <c r="B4" s="781"/>
      <c r="C4" s="781"/>
      <c r="D4" s="783"/>
      <c r="E4" s="783"/>
      <c r="F4" s="783"/>
      <c r="G4" s="783"/>
      <c r="H4" s="783"/>
      <c r="I4" s="783"/>
      <c r="J4" s="783"/>
      <c r="K4" s="783"/>
      <c r="L4" s="783"/>
      <c r="M4" s="783"/>
      <c r="N4" s="783"/>
      <c r="O4" s="195"/>
      <c r="P4" s="775" t="s">
        <v>292</v>
      </c>
      <c r="Q4" s="776"/>
      <c r="R4" s="776"/>
      <c r="S4" s="776"/>
      <c r="T4" s="776"/>
    </row>
    <row r="5" spans="1:23" ht="15">
      <c r="A5" s="208"/>
      <c r="B5" s="208"/>
      <c r="C5" s="240"/>
      <c r="D5" s="240"/>
      <c r="E5" s="208"/>
      <c r="F5" s="208"/>
      <c r="G5" s="208"/>
      <c r="H5" s="208"/>
      <c r="I5" s="208"/>
      <c r="J5" s="208"/>
      <c r="K5" s="208"/>
      <c r="L5" s="208"/>
      <c r="P5" s="795" t="s">
        <v>315</v>
      </c>
      <c r="Q5" s="795"/>
      <c r="R5" s="795"/>
      <c r="S5" s="795"/>
      <c r="T5" s="795"/>
      <c r="U5" s="241"/>
      <c r="V5" s="241"/>
      <c r="W5" s="241"/>
    </row>
    <row r="6" spans="1:23" ht="29.25" customHeight="1">
      <c r="A6" s="736" t="s">
        <v>55</v>
      </c>
      <c r="B6" s="812"/>
      <c r="C6" s="807" t="s">
        <v>2</v>
      </c>
      <c r="D6" s="796" t="s">
        <v>158</v>
      </c>
      <c r="E6" s="797"/>
      <c r="F6" s="797"/>
      <c r="G6" s="797"/>
      <c r="H6" s="797"/>
      <c r="I6" s="797"/>
      <c r="J6" s="798"/>
      <c r="K6" s="801" t="s">
        <v>159</v>
      </c>
      <c r="L6" s="802"/>
      <c r="M6" s="802"/>
      <c r="N6" s="802"/>
      <c r="O6" s="802"/>
      <c r="P6" s="802"/>
      <c r="Q6" s="802"/>
      <c r="R6" s="802"/>
      <c r="S6" s="802"/>
      <c r="T6" s="803"/>
      <c r="U6" s="242"/>
      <c r="V6" s="243"/>
      <c r="W6" s="243"/>
    </row>
    <row r="7" spans="1:20" ht="19.5" customHeight="1">
      <c r="A7" s="738"/>
      <c r="B7" s="813"/>
      <c r="C7" s="808"/>
      <c r="D7" s="797" t="s">
        <v>7</v>
      </c>
      <c r="E7" s="797"/>
      <c r="F7" s="797"/>
      <c r="G7" s="797"/>
      <c r="H7" s="797"/>
      <c r="I7" s="797"/>
      <c r="J7" s="798"/>
      <c r="K7" s="804"/>
      <c r="L7" s="805"/>
      <c r="M7" s="805"/>
      <c r="N7" s="805"/>
      <c r="O7" s="805"/>
      <c r="P7" s="805"/>
      <c r="Q7" s="805"/>
      <c r="R7" s="805"/>
      <c r="S7" s="805"/>
      <c r="T7" s="806"/>
    </row>
    <row r="8" spans="1:20" ht="33" customHeight="1">
      <c r="A8" s="738"/>
      <c r="B8" s="813"/>
      <c r="C8" s="808"/>
      <c r="D8" s="788" t="s">
        <v>160</v>
      </c>
      <c r="E8" s="789"/>
      <c r="F8" s="773" t="s">
        <v>161</v>
      </c>
      <c r="G8" s="789"/>
      <c r="H8" s="773" t="s">
        <v>162</v>
      </c>
      <c r="I8" s="789"/>
      <c r="J8" s="773" t="s">
        <v>163</v>
      </c>
      <c r="K8" s="772" t="s">
        <v>164</v>
      </c>
      <c r="L8" s="772"/>
      <c r="M8" s="772"/>
      <c r="N8" s="772" t="s">
        <v>165</v>
      </c>
      <c r="O8" s="772"/>
      <c r="P8" s="772"/>
      <c r="Q8" s="773" t="s">
        <v>166</v>
      </c>
      <c r="R8" s="777" t="s">
        <v>167</v>
      </c>
      <c r="S8" s="777" t="s">
        <v>168</v>
      </c>
      <c r="T8" s="773" t="s">
        <v>169</v>
      </c>
    </row>
    <row r="9" spans="1:20" ht="18.75" customHeight="1">
      <c r="A9" s="738"/>
      <c r="B9" s="813"/>
      <c r="C9" s="808"/>
      <c r="D9" s="788" t="s">
        <v>170</v>
      </c>
      <c r="E9" s="773" t="s">
        <v>171</v>
      </c>
      <c r="F9" s="773" t="s">
        <v>170</v>
      </c>
      <c r="G9" s="773" t="s">
        <v>171</v>
      </c>
      <c r="H9" s="773" t="s">
        <v>170</v>
      </c>
      <c r="I9" s="773" t="s">
        <v>172</v>
      </c>
      <c r="J9" s="773"/>
      <c r="K9" s="772"/>
      <c r="L9" s="772"/>
      <c r="M9" s="772"/>
      <c r="N9" s="772"/>
      <c r="O9" s="772"/>
      <c r="P9" s="772"/>
      <c r="Q9" s="773"/>
      <c r="R9" s="777"/>
      <c r="S9" s="777"/>
      <c r="T9" s="773"/>
    </row>
    <row r="10" spans="1:20" ht="23.25" customHeight="1">
      <c r="A10" s="740"/>
      <c r="B10" s="814"/>
      <c r="C10" s="809"/>
      <c r="D10" s="788"/>
      <c r="E10" s="773"/>
      <c r="F10" s="773"/>
      <c r="G10" s="773"/>
      <c r="H10" s="773"/>
      <c r="I10" s="773"/>
      <c r="J10" s="773"/>
      <c r="K10" s="244" t="s">
        <v>173</v>
      </c>
      <c r="L10" s="244" t="s">
        <v>148</v>
      </c>
      <c r="M10" s="244" t="s">
        <v>174</v>
      </c>
      <c r="N10" s="244" t="s">
        <v>173</v>
      </c>
      <c r="O10" s="244" t="s">
        <v>175</v>
      </c>
      <c r="P10" s="244" t="s">
        <v>176</v>
      </c>
      <c r="Q10" s="773"/>
      <c r="R10" s="777"/>
      <c r="S10" s="777"/>
      <c r="T10" s="773"/>
    </row>
    <row r="11" spans="1:32" s="201" customFormat="1" ht="17.25" customHeight="1">
      <c r="A11" s="810" t="s">
        <v>6</v>
      </c>
      <c r="B11" s="811"/>
      <c r="C11" s="245">
        <v>1</v>
      </c>
      <c r="D11" s="246">
        <v>2</v>
      </c>
      <c r="E11" s="246">
        <v>3</v>
      </c>
      <c r="F11" s="246">
        <v>4</v>
      </c>
      <c r="G11" s="246">
        <v>5</v>
      </c>
      <c r="H11" s="246">
        <v>6</v>
      </c>
      <c r="I11" s="246">
        <v>7</v>
      </c>
      <c r="J11" s="246">
        <v>8</v>
      </c>
      <c r="K11" s="246">
        <v>9</v>
      </c>
      <c r="L11" s="246">
        <v>10</v>
      </c>
      <c r="M11" s="246">
        <v>11</v>
      </c>
      <c r="N11" s="246">
        <v>12</v>
      </c>
      <c r="O11" s="246">
        <v>13</v>
      </c>
      <c r="P11" s="246">
        <v>14</v>
      </c>
      <c r="Q11" s="247">
        <v>15</v>
      </c>
      <c r="R11" s="247">
        <v>16</v>
      </c>
      <c r="S11" s="247">
        <v>17</v>
      </c>
      <c r="T11" s="247">
        <v>18</v>
      </c>
      <c r="AF11" s="201">
        <f>AC14-AC15</f>
        <v>0</v>
      </c>
    </row>
    <row r="12" spans="1:20" s="201" customFormat="1" ht="17.25" customHeight="1">
      <c r="A12" s="799" t="s">
        <v>321</v>
      </c>
      <c r="B12" s="800"/>
      <c r="C12" s="248">
        <f aca="true" t="shared" si="0" ref="C12:T12">C14-C13</f>
        <v>0</v>
      </c>
      <c r="D12" s="248">
        <f t="shared" si="0"/>
        <v>0</v>
      </c>
      <c r="E12" s="248">
        <f t="shared" si="0"/>
        <v>0</v>
      </c>
      <c r="F12" s="248">
        <f t="shared" si="0"/>
        <v>-2</v>
      </c>
      <c r="G12" s="248">
        <f t="shared" si="0"/>
        <v>-4</v>
      </c>
      <c r="H12" s="248">
        <f t="shared" si="0"/>
        <v>5</v>
      </c>
      <c r="I12" s="248">
        <f t="shared" si="0"/>
        <v>4</v>
      </c>
      <c r="J12" s="248">
        <f t="shared" si="0"/>
        <v>-3</v>
      </c>
      <c r="K12" s="248">
        <f t="shared" si="0"/>
        <v>0</v>
      </c>
      <c r="L12" s="248">
        <f t="shared" si="0"/>
        <v>7</v>
      </c>
      <c r="M12" s="248">
        <f t="shared" si="0"/>
        <v>11</v>
      </c>
      <c r="N12" s="248">
        <f t="shared" si="0"/>
        <v>2</v>
      </c>
      <c r="O12" s="248">
        <f t="shared" si="0"/>
        <v>5</v>
      </c>
      <c r="P12" s="248">
        <f t="shared" si="0"/>
        <v>-73</v>
      </c>
      <c r="Q12" s="248">
        <f t="shared" si="0"/>
        <v>4</v>
      </c>
      <c r="R12" s="248">
        <f t="shared" si="0"/>
        <v>0</v>
      </c>
      <c r="S12" s="248">
        <f t="shared" si="0"/>
        <v>-3</v>
      </c>
      <c r="T12" s="248">
        <f t="shared" si="0"/>
        <v>37</v>
      </c>
    </row>
    <row r="13" spans="1:20" s="201" customFormat="1" ht="17.25" customHeight="1">
      <c r="A13" s="786" t="s">
        <v>297</v>
      </c>
      <c r="B13" s="787"/>
      <c r="C13" s="249">
        <v>122</v>
      </c>
      <c r="D13" s="249">
        <v>0</v>
      </c>
      <c r="E13" s="249">
        <v>0</v>
      </c>
      <c r="F13" s="249">
        <v>90</v>
      </c>
      <c r="G13" s="249">
        <v>13</v>
      </c>
      <c r="H13" s="249">
        <v>3</v>
      </c>
      <c r="I13" s="249">
        <v>10</v>
      </c>
      <c r="J13" s="249">
        <v>6</v>
      </c>
      <c r="K13" s="249">
        <v>0</v>
      </c>
      <c r="L13" s="249">
        <v>5</v>
      </c>
      <c r="M13" s="249">
        <v>67</v>
      </c>
      <c r="N13" s="249">
        <v>7</v>
      </c>
      <c r="O13" s="249">
        <v>10</v>
      </c>
      <c r="P13" s="249">
        <v>89</v>
      </c>
      <c r="Q13" s="249">
        <v>46</v>
      </c>
      <c r="R13" s="249">
        <v>8</v>
      </c>
      <c r="S13" s="249">
        <v>14</v>
      </c>
      <c r="T13" s="249">
        <v>16</v>
      </c>
    </row>
    <row r="14" spans="1:37" s="201" customFormat="1" ht="19.5" customHeight="1">
      <c r="A14" s="794" t="s">
        <v>177</v>
      </c>
      <c r="B14" s="788"/>
      <c r="C14" s="250">
        <f>C15+C16</f>
        <v>122</v>
      </c>
      <c r="D14" s="250">
        <f>D15+D16</f>
        <v>0</v>
      </c>
      <c r="E14" s="250">
        <f>E20+E31+E35+E41+E52+E58+E61+E65+E69+E73+E81+E88</f>
        <v>0</v>
      </c>
      <c r="F14" s="250">
        <f aca="true" t="shared" si="1" ref="F14:T14">F15+F16</f>
        <v>88</v>
      </c>
      <c r="G14" s="250">
        <f t="shared" si="1"/>
        <v>9</v>
      </c>
      <c r="H14" s="250">
        <f t="shared" si="1"/>
        <v>8</v>
      </c>
      <c r="I14" s="250">
        <f t="shared" si="1"/>
        <v>14</v>
      </c>
      <c r="J14" s="250">
        <f t="shared" si="1"/>
        <v>3</v>
      </c>
      <c r="K14" s="250">
        <f t="shared" si="1"/>
        <v>0</v>
      </c>
      <c r="L14" s="250">
        <f t="shared" si="1"/>
        <v>12</v>
      </c>
      <c r="M14" s="250">
        <f t="shared" si="1"/>
        <v>78</v>
      </c>
      <c r="N14" s="250">
        <f t="shared" si="1"/>
        <v>9</v>
      </c>
      <c r="O14" s="250">
        <f t="shared" si="1"/>
        <v>15</v>
      </c>
      <c r="P14" s="250">
        <f t="shared" si="1"/>
        <v>16</v>
      </c>
      <c r="Q14" s="250">
        <f t="shared" si="1"/>
        <v>50</v>
      </c>
      <c r="R14" s="250">
        <f t="shared" si="1"/>
        <v>8</v>
      </c>
      <c r="S14" s="250">
        <f t="shared" si="1"/>
        <v>11</v>
      </c>
      <c r="T14" s="250">
        <f t="shared" si="1"/>
        <v>53</v>
      </c>
      <c r="AK14" s="199"/>
    </row>
    <row r="15" spans="1:20" s="201" customFormat="1" ht="17.25" customHeight="1">
      <c r="A15" s="197" t="s">
        <v>0</v>
      </c>
      <c r="B15" s="198" t="s">
        <v>78</v>
      </c>
      <c r="C15" s="251">
        <f>D15+E15+F15+G15+H15+I15+J15</f>
        <v>25</v>
      </c>
      <c r="D15" s="252"/>
      <c r="E15" s="252"/>
      <c r="F15" s="252">
        <v>19</v>
      </c>
      <c r="G15" s="253">
        <v>2</v>
      </c>
      <c r="H15" s="252"/>
      <c r="I15" s="253">
        <v>3</v>
      </c>
      <c r="J15" s="253">
        <v>1</v>
      </c>
      <c r="K15" s="253"/>
      <c r="L15" s="253">
        <v>5</v>
      </c>
      <c r="M15" s="252">
        <v>17</v>
      </c>
      <c r="N15" s="252">
        <v>6</v>
      </c>
      <c r="O15" s="252"/>
      <c r="P15" s="252"/>
      <c r="Q15" s="252">
        <v>9</v>
      </c>
      <c r="R15" s="252">
        <v>2</v>
      </c>
      <c r="S15" s="252">
        <v>3</v>
      </c>
      <c r="T15" s="252">
        <v>11</v>
      </c>
    </row>
    <row r="16" spans="1:38" s="201" customFormat="1" ht="17.25" customHeight="1">
      <c r="A16" s="254" t="s">
        <v>1</v>
      </c>
      <c r="B16" s="198" t="s">
        <v>17</v>
      </c>
      <c r="C16" s="255">
        <f aca="true" t="shared" si="2" ref="C16:T16">C17+C18+C19+C20+C21+C22+C23+C24+C25+C26+C27</f>
        <v>97</v>
      </c>
      <c r="D16" s="255">
        <f t="shared" si="2"/>
        <v>0</v>
      </c>
      <c r="E16" s="255">
        <f t="shared" si="2"/>
        <v>0</v>
      </c>
      <c r="F16" s="255">
        <f t="shared" si="2"/>
        <v>69</v>
      </c>
      <c r="G16" s="255">
        <f t="shared" si="2"/>
        <v>7</v>
      </c>
      <c r="H16" s="255">
        <f t="shared" si="2"/>
        <v>8</v>
      </c>
      <c r="I16" s="255">
        <f t="shared" si="2"/>
        <v>11</v>
      </c>
      <c r="J16" s="255">
        <f t="shared" si="2"/>
        <v>2</v>
      </c>
      <c r="K16" s="255">
        <f t="shared" si="2"/>
        <v>0</v>
      </c>
      <c r="L16" s="255">
        <f t="shared" si="2"/>
        <v>7</v>
      </c>
      <c r="M16" s="255">
        <f t="shared" si="2"/>
        <v>61</v>
      </c>
      <c r="N16" s="255">
        <f t="shared" si="2"/>
        <v>3</v>
      </c>
      <c r="O16" s="255">
        <f t="shared" si="2"/>
        <v>15</v>
      </c>
      <c r="P16" s="255">
        <f t="shared" si="2"/>
        <v>16</v>
      </c>
      <c r="Q16" s="255">
        <f t="shared" si="2"/>
        <v>41</v>
      </c>
      <c r="R16" s="255">
        <f t="shared" si="2"/>
        <v>6</v>
      </c>
      <c r="S16" s="255">
        <f t="shared" si="2"/>
        <v>8</v>
      </c>
      <c r="T16" s="255">
        <f t="shared" si="2"/>
        <v>42</v>
      </c>
      <c r="AL16" s="199"/>
    </row>
    <row r="17" spans="1:32" s="201" customFormat="1" ht="17.25" customHeight="1">
      <c r="A17" s="200">
        <v>1</v>
      </c>
      <c r="B17" s="68" t="s">
        <v>266</v>
      </c>
      <c r="C17" s="251">
        <f aca="true" t="shared" si="3" ref="C17:C27">D17+E17+F17+G17+H17+I17+J17</f>
        <v>8</v>
      </c>
      <c r="D17" s="252"/>
      <c r="E17" s="252"/>
      <c r="F17" s="256">
        <v>6</v>
      </c>
      <c r="G17" s="256">
        <v>1</v>
      </c>
      <c r="H17" s="256"/>
      <c r="I17" s="257"/>
      <c r="J17" s="257">
        <v>1</v>
      </c>
      <c r="K17" s="257"/>
      <c r="L17" s="257"/>
      <c r="M17" s="256">
        <v>4</v>
      </c>
      <c r="N17" s="256">
        <v>1</v>
      </c>
      <c r="O17" s="256"/>
      <c r="P17" s="256"/>
      <c r="Q17" s="256">
        <v>5</v>
      </c>
      <c r="R17" s="256"/>
      <c r="S17" s="256"/>
      <c r="T17" s="256">
        <v>3</v>
      </c>
      <c r="AF17" s="199" t="e">
        <f>(R17-D17)/D17</f>
        <v>#DIV/0!</v>
      </c>
    </row>
    <row r="18" spans="1:20" s="201" customFormat="1" ht="17.25" customHeight="1">
      <c r="A18" s="200">
        <v>2</v>
      </c>
      <c r="B18" s="68" t="s">
        <v>298</v>
      </c>
      <c r="C18" s="251">
        <f t="shared" si="3"/>
        <v>7</v>
      </c>
      <c r="D18" s="252"/>
      <c r="E18" s="252"/>
      <c r="F18" s="256">
        <v>6</v>
      </c>
      <c r="G18" s="256"/>
      <c r="H18" s="256"/>
      <c r="I18" s="257">
        <v>1</v>
      </c>
      <c r="J18" s="257"/>
      <c r="K18" s="257"/>
      <c r="L18" s="257"/>
      <c r="M18" s="256">
        <v>6</v>
      </c>
      <c r="N18" s="256"/>
      <c r="O18" s="256">
        <v>3</v>
      </c>
      <c r="P18" s="256"/>
      <c r="Q18" s="256">
        <v>3</v>
      </c>
      <c r="R18" s="256">
        <v>1</v>
      </c>
      <c r="S18" s="256"/>
      <c r="T18" s="256">
        <v>3</v>
      </c>
    </row>
    <row r="19" spans="1:20" s="201" customFormat="1" ht="17.25" customHeight="1">
      <c r="A19" s="200">
        <v>3</v>
      </c>
      <c r="B19" s="68" t="s">
        <v>269</v>
      </c>
      <c r="C19" s="251">
        <f t="shared" si="3"/>
        <v>14</v>
      </c>
      <c r="D19" s="252"/>
      <c r="E19" s="252"/>
      <c r="F19" s="256">
        <v>12</v>
      </c>
      <c r="G19" s="256">
        <v>1</v>
      </c>
      <c r="H19" s="256"/>
      <c r="I19" s="257">
        <v>1</v>
      </c>
      <c r="J19" s="257"/>
      <c r="K19" s="257"/>
      <c r="L19" s="257"/>
      <c r="M19" s="256">
        <v>9</v>
      </c>
      <c r="N19" s="256">
        <v>1</v>
      </c>
      <c r="O19" s="256"/>
      <c r="P19" s="256">
        <v>13</v>
      </c>
      <c r="Q19" s="256">
        <v>8</v>
      </c>
      <c r="R19" s="256">
        <v>1</v>
      </c>
      <c r="S19" s="256">
        <v>1</v>
      </c>
      <c r="T19" s="256">
        <v>4</v>
      </c>
    </row>
    <row r="20" spans="1:20" s="201" customFormat="1" ht="17.25" customHeight="1">
      <c r="A20" s="200">
        <v>4</v>
      </c>
      <c r="B20" s="68" t="s">
        <v>270</v>
      </c>
      <c r="C20" s="251">
        <f t="shared" si="3"/>
        <v>7</v>
      </c>
      <c r="D20" s="252"/>
      <c r="E20" s="252"/>
      <c r="F20" s="256">
        <v>3</v>
      </c>
      <c r="G20" s="256"/>
      <c r="H20" s="256">
        <v>1</v>
      </c>
      <c r="I20" s="257">
        <v>2</v>
      </c>
      <c r="J20" s="257">
        <v>1</v>
      </c>
      <c r="K20" s="257"/>
      <c r="L20" s="257"/>
      <c r="M20" s="256">
        <v>3</v>
      </c>
      <c r="N20" s="256"/>
      <c r="O20" s="256">
        <v>1</v>
      </c>
      <c r="P20" s="256"/>
      <c r="Q20" s="256">
        <v>2</v>
      </c>
      <c r="R20" s="256"/>
      <c r="S20" s="256">
        <v>1</v>
      </c>
      <c r="T20" s="256">
        <v>4</v>
      </c>
    </row>
    <row r="21" spans="1:39" s="201" customFormat="1" ht="17.25" customHeight="1">
      <c r="A21" s="200">
        <v>5</v>
      </c>
      <c r="B21" s="68" t="s">
        <v>271</v>
      </c>
      <c r="C21" s="251">
        <f t="shared" si="3"/>
        <v>8</v>
      </c>
      <c r="D21" s="252"/>
      <c r="E21" s="252"/>
      <c r="F21" s="256">
        <v>5</v>
      </c>
      <c r="G21" s="256">
        <v>1</v>
      </c>
      <c r="H21" s="256">
        <v>2</v>
      </c>
      <c r="I21" s="257"/>
      <c r="J21" s="257"/>
      <c r="K21" s="257"/>
      <c r="L21" s="257">
        <v>1</v>
      </c>
      <c r="M21" s="256">
        <v>6</v>
      </c>
      <c r="N21" s="256"/>
      <c r="O21" s="256"/>
      <c r="P21" s="256"/>
      <c r="Q21" s="256">
        <v>3</v>
      </c>
      <c r="R21" s="256"/>
      <c r="S21" s="256">
        <v>2</v>
      </c>
      <c r="T21" s="256">
        <v>3</v>
      </c>
      <c r="AJ21" s="201">
        <f>AI20-AI21</f>
        <v>0</v>
      </c>
      <c r="AK21" s="201">
        <v>1653</v>
      </c>
      <c r="AL21" s="201">
        <f>AI20-AK21</f>
        <v>-1653</v>
      </c>
      <c r="AM21" s="199" t="e">
        <f>AL21/AI20</f>
        <v>#DIV/0!</v>
      </c>
    </row>
    <row r="22" spans="1:39" s="201" customFormat="1" ht="17.25" customHeight="1">
      <c r="A22" s="200">
        <v>6</v>
      </c>
      <c r="B22" s="68" t="s">
        <v>272</v>
      </c>
      <c r="C22" s="251">
        <f t="shared" si="3"/>
        <v>10</v>
      </c>
      <c r="D22" s="252"/>
      <c r="E22" s="252"/>
      <c r="F22" s="256">
        <v>7</v>
      </c>
      <c r="G22" s="256"/>
      <c r="H22" s="256">
        <v>1</v>
      </c>
      <c r="I22" s="257">
        <v>2</v>
      </c>
      <c r="J22" s="257"/>
      <c r="K22" s="257"/>
      <c r="L22" s="257">
        <v>1</v>
      </c>
      <c r="M22" s="256">
        <v>8</v>
      </c>
      <c r="N22" s="256"/>
      <c r="O22" s="256">
        <v>2</v>
      </c>
      <c r="P22" s="256"/>
      <c r="Q22" s="256">
        <v>3</v>
      </c>
      <c r="R22" s="256"/>
      <c r="S22" s="256">
        <v>1</v>
      </c>
      <c r="T22" s="256">
        <v>6</v>
      </c>
      <c r="AM22" s="199" t="e">
        <f>AN20-AM21</f>
        <v>#DIV/0!</v>
      </c>
    </row>
    <row r="23" spans="1:20" s="201" customFormat="1" ht="17.25" customHeight="1">
      <c r="A23" s="200">
        <v>7</v>
      </c>
      <c r="B23" s="68" t="s">
        <v>277</v>
      </c>
      <c r="C23" s="251">
        <f t="shared" si="3"/>
        <v>7</v>
      </c>
      <c r="D23" s="252"/>
      <c r="E23" s="252"/>
      <c r="F23" s="256">
        <v>4</v>
      </c>
      <c r="G23" s="256">
        <v>1</v>
      </c>
      <c r="H23" s="256">
        <v>1</v>
      </c>
      <c r="I23" s="257">
        <v>1</v>
      </c>
      <c r="J23" s="257"/>
      <c r="K23" s="257"/>
      <c r="L23" s="257">
        <v>1</v>
      </c>
      <c r="M23" s="256">
        <v>3</v>
      </c>
      <c r="N23" s="256"/>
      <c r="O23" s="256">
        <v>1</v>
      </c>
      <c r="P23" s="256"/>
      <c r="Q23" s="256">
        <v>2</v>
      </c>
      <c r="R23" s="256"/>
      <c r="S23" s="256"/>
      <c r="T23" s="256">
        <v>5</v>
      </c>
    </row>
    <row r="24" spans="1:36" s="201" customFormat="1" ht="17.25" customHeight="1">
      <c r="A24" s="200">
        <v>8</v>
      </c>
      <c r="B24" s="68" t="s">
        <v>279</v>
      </c>
      <c r="C24" s="251">
        <f t="shared" si="3"/>
        <v>9</v>
      </c>
      <c r="D24" s="252"/>
      <c r="E24" s="252"/>
      <c r="F24" s="256">
        <v>6</v>
      </c>
      <c r="G24" s="256">
        <v>1</v>
      </c>
      <c r="H24" s="256">
        <v>1</v>
      </c>
      <c r="I24" s="257">
        <v>1</v>
      </c>
      <c r="J24" s="257"/>
      <c r="K24" s="257"/>
      <c r="L24" s="257">
        <v>1</v>
      </c>
      <c r="M24" s="256">
        <v>4</v>
      </c>
      <c r="N24" s="256"/>
      <c r="O24" s="256">
        <v>1</v>
      </c>
      <c r="P24" s="256"/>
      <c r="Q24" s="256">
        <v>2</v>
      </c>
      <c r="R24" s="256">
        <v>1</v>
      </c>
      <c r="S24" s="256">
        <v>2</v>
      </c>
      <c r="T24" s="256">
        <v>4</v>
      </c>
      <c r="AJ24" s="201">
        <f>AI23-AI24</f>
        <v>0</v>
      </c>
    </row>
    <row r="25" spans="1:36" s="201" customFormat="1" ht="17.25" customHeight="1">
      <c r="A25" s="200">
        <v>9</v>
      </c>
      <c r="B25" s="68" t="s">
        <v>280</v>
      </c>
      <c r="C25" s="251">
        <f t="shared" si="3"/>
        <v>11</v>
      </c>
      <c r="D25" s="252"/>
      <c r="E25" s="252"/>
      <c r="F25" s="256">
        <v>8</v>
      </c>
      <c r="G25" s="256"/>
      <c r="H25" s="256">
        <v>1</v>
      </c>
      <c r="I25" s="257">
        <v>2</v>
      </c>
      <c r="J25" s="257"/>
      <c r="K25" s="257"/>
      <c r="L25" s="257">
        <v>1</v>
      </c>
      <c r="M25" s="256">
        <v>8</v>
      </c>
      <c r="N25" s="256">
        <v>1</v>
      </c>
      <c r="O25" s="256">
        <v>1</v>
      </c>
      <c r="P25" s="256">
        <v>3</v>
      </c>
      <c r="Q25" s="256">
        <v>4</v>
      </c>
      <c r="R25" s="256">
        <v>1</v>
      </c>
      <c r="S25" s="256">
        <v>1</v>
      </c>
      <c r="T25" s="256">
        <v>5</v>
      </c>
      <c r="AJ25" s="199" t="e">
        <f>AI24/AI25</f>
        <v>#DIV/0!</v>
      </c>
    </row>
    <row r="26" spans="1:44" s="201" customFormat="1" ht="17.25" customHeight="1">
      <c r="A26" s="200">
        <v>10</v>
      </c>
      <c r="B26" s="68" t="s">
        <v>281</v>
      </c>
      <c r="C26" s="251">
        <f t="shared" si="3"/>
        <v>8</v>
      </c>
      <c r="D26" s="252"/>
      <c r="E26" s="252"/>
      <c r="F26" s="256">
        <v>6</v>
      </c>
      <c r="G26" s="256">
        <v>1</v>
      </c>
      <c r="H26" s="256"/>
      <c r="I26" s="257">
        <v>1</v>
      </c>
      <c r="J26" s="257"/>
      <c r="K26" s="257"/>
      <c r="L26" s="257">
        <v>1</v>
      </c>
      <c r="M26" s="256">
        <v>3</v>
      </c>
      <c r="N26" s="256"/>
      <c r="O26" s="256">
        <v>3</v>
      </c>
      <c r="P26" s="256"/>
      <c r="Q26" s="256">
        <v>4</v>
      </c>
      <c r="R26" s="256">
        <v>1</v>
      </c>
      <c r="S26" s="256"/>
      <c r="T26" s="256">
        <v>3</v>
      </c>
      <c r="AR26" s="199"/>
    </row>
    <row r="27" spans="1:20" s="201" customFormat="1" ht="17.25" customHeight="1">
      <c r="A27" s="200">
        <v>11</v>
      </c>
      <c r="B27" s="68" t="s">
        <v>283</v>
      </c>
      <c r="C27" s="251">
        <f t="shared" si="3"/>
        <v>8</v>
      </c>
      <c r="D27" s="252"/>
      <c r="E27" s="252"/>
      <c r="F27" s="256">
        <v>6</v>
      </c>
      <c r="G27" s="256">
        <v>1</v>
      </c>
      <c r="H27" s="256">
        <v>1</v>
      </c>
      <c r="I27" s="257"/>
      <c r="J27" s="257"/>
      <c r="K27" s="257"/>
      <c r="L27" s="257">
        <v>1</v>
      </c>
      <c r="M27" s="256">
        <v>7</v>
      </c>
      <c r="N27" s="256"/>
      <c r="O27" s="256">
        <v>3</v>
      </c>
      <c r="P27" s="256"/>
      <c r="Q27" s="256">
        <v>5</v>
      </c>
      <c r="R27" s="256">
        <v>1</v>
      </c>
      <c r="S27" s="256"/>
      <c r="T27" s="256">
        <v>2</v>
      </c>
    </row>
    <row r="28" spans="1:35" ht="6.75" customHeight="1">
      <c r="A28" s="208"/>
      <c r="B28" s="208"/>
      <c r="C28" s="208"/>
      <c r="D28" s="208"/>
      <c r="E28" s="208"/>
      <c r="F28" s="208"/>
      <c r="G28" s="208"/>
      <c r="H28" s="208"/>
      <c r="I28" s="208"/>
      <c r="J28" s="208"/>
      <c r="K28" s="208"/>
      <c r="L28" s="208"/>
      <c r="M28" s="208"/>
      <c r="N28" s="208"/>
      <c r="O28" s="208"/>
      <c r="P28" s="208"/>
      <c r="Q28" s="208"/>
      <c r="AG28" s="196" t="s">
        <v>285</v>
      </c>
      <c r="AI28" s="190">
        <f>82/88</f>
        <v>0.9318181818181818</v>
      </c>
    </row>
    <row r="29" spans="1:20" ht="15.75" customHeight="1">
      <c r="A29" s="202"/>
      <c r="B29" s="791" t="s">
        <v>309</v>
      </c>
      <c r="C29" s="791"/>
      <c r="D29" s="791"/>
      <c r="E29" s="791"/>
      <c r="F29" s="258"/>
      <c r="G29" s="258"/>
      <c r="H29" s="258"/>
      <c r="I29" s="258"/>
      <c r="J29" s="258"/>
      <c r="K29" s="258"/>
      <c r="L29" s="206"/>
      <c r="M29" s="790" t="s">
        <v>322</v>
      </c>
      <c r="N29" s="790"/>
      <c r="O29" s="790"/>
      <c r="P29" s="790"/>
      <c r="Q29" s="790"/>
      <c r="R29" s="790"/>
      <c r="S29" s="790"/>
      <c r="T29" s="790"/>
    </row>
    <row r="30" spans="1:20" ht="18.75" customHeight="1">
      <c r="A30" s="202"/>
      <c r="B30" s="792" t="s">
        <v>150</v>
      </c>
      <c r="C30" s="792"/>
      <c r="D30" s="792"/>
      <c r="E30" s="792"/>
      <c r="F30" s="205"/>
      <c r="G30" s="205"/>
      <c r="H30" s="205"/>
      <c r="I30" s="205"/>
      <c r="J30" s="205"/>
      <c r="K30" s="205"/>
      <c r="L30" s="206"/>
      <c r="M30" s="793" t="s">
        <v>151</v>
      </c>
      <c r="N30" s="793"/>
      <c r="O30" s="793"/>
      <c r="P30" s="793"/>
      <c r="Q30" s="793"/>
      <c r="R30" s="793"/>
      <c r="S30" s="793"/>
      <c r="T30" s="793"/>
    </row>
    <row r="31" spans="1:20" ht="18.75">
      <c r="A31" s="208"/>
      <c r="B31" s="753"/>
      <c r="C31" s="753"/>
      <c r="D31" s="753"/>
      <c r="E31" s="753"/>
      <c r="F31" s="209"/>
      <c r="G31" s="209"/>
      <c r="H31" s="209"/>
      <c r="I31" s="209"/>
      <c r="J31" s="209"/>
      <c r="K31" s="209"/>
      <c r="L31" s="209"/>
      <c r="M31" s="754"/>
      <c r="N31" s="754"/>
      <c r="O31" s="754"/>
      <c r="P31" s="754"/>
      <c r="Q31" s="754"/>
      <c r="R31" s="754"/>
      <c r="S31" s="754"/>
      <c r="T31" s="754"/>
    </row>
    <row r="32" spans="1:20" ht="18.75">
      <c r="A32" s="208"/>
      <c r="B32" s="209"/>
      <c r="C32" s="209"/>
      <c r="D32" s="209"/>
      <c r="E32" s="209"/>
      <c r="F32" s="209"/>
      <c r="G32" s="209"/>
      <c r="H32" s="209"/>
      <c r="I32" s="209"/>
      <c r="J32" s="209"/>
      <c r="K32" s="209"/>
      <c r="L32" s="209"/>
      <c r="M32" s="209"/>
      <c r="N32" s="209"/>
      <c r="O32" s="209"/>
      <c r="P32" s="209"/>
      <c r="Q32" s="209"/>
      <c r="R32" s="206"/>
      <c r="S32" s="206"/>
      <c r="T32" s="206"/>
    </row>
    <row r="33" spans="2:20" ht="18">
      <c r="B33" s="778" t="s">
        <v>288</v>
      </c>
      <c r="C33" s="778"/>
      <c r="D33" s="778"/>
      <c r="E33" s="778"/>
      <c r="F33" s="778"/>
      <c r="G33" s="259"/>
      <c r="H33" s="259"/>
      <c r="I33" s="259"/>
      <c r="J33" s="259"/>
      <c r="K33" s="259"/>
      <c r="L33" s="259"/>
      <c r="M33" s="259"/>
      <c r="N33" s="778" t="s">
        <v>288</v>
      </c>
      <c r="O33" s="778"/>
      <c r="P33" s="778"/>
      <c r="Q33" s="778"/>
      <c r="R33" s="778"/>
      <c r="S33" s="778"/>
      <c r="T33" s="206"/>
    </row>
    <row r="34" spans="2:20" ht="18">
      <c r="B34" s="206"/>
      <c r="C34" s="206"/>
      <c r="D34" s="206"/>
      <c r="E34" s="206"/>
      <c r="F34" s="206"/>
      <c r="G34" s="206"/>
      <c r="H34" s="206"/>
      <c r="I34" s="206"/>
      <c r="J34" s="206"/>
      <c r="K34" s="206"/>
      <c r="L34" s="206"/>
      <c r="M34" s="206"/>
      <c r="N34" s="206"/>
      <c r="O34" s="206"/>
      <c r="P34" s="206"/>
      <c r="Q34" s="206"/>
      <c r="R34" s="206"/>
      <c r="S34" s="206"/>
      <c r="T34" s="206"/>
    </row>
    <row r="35" spans="2:20" ht="18.75">
      <c r="B35" s="650" t="s">
        <v>241</v>
      </c>
      <c r="C35" s="650"/>
      <c r="D35" s="650"/>
      <c r="E35" s="650"/>
      <c r="F35" s="210"/>
      <c r="G35" s="210"/>
      <c r="H35" s="210"/>
      <c r="I35" s="182"/>
      <c r="J35" s="182"/>
      <c r="K35" s="182"/>
      <c r="L35" s="182"/>
      <c r="M35" s="651" t="s">
        <v>242</v>
      </c>
      <c r="N35" s="651"/>
      <c r="O35" s="651"/>
      <c r="P35" s="651"/>
      <c r="Q35" s="651"/>
      <c r="R35" s="651"/>
      <c r="S35" s="651"/>
      <c r="T35" s="651"/>
    </row>
    <row r="36" spans="2:20" ht="18.75">
      <c r="B36" s="92"/>
      <c r="C36" s="92"/>
      <c r="D36" s="92"/>
      <c r="E36" s="92"/>
      <c r="F36" s="210"/>
      <c r="G36" s="210"/>
      <c r="H36" s="210"/>
      <c r="I36" s="182"/>
      <c r="J36" s="182"/>
      <c r="K36" s="182"/>
      <c r="L36" s="182"/>
      <c r="M36" s="93"/>
      <c r="N36" s="93"/>
      <c r="O36" s="93"/>
      <c r="P36" s="93"/>
      <c r="Q36" s="93"/>
      <c r="R36" s="93"/>
      <c r="S36" s="93"/>
      <c r="T36" s="93"/>
    </row>
    <row r="37" spans="2:20" ht="18.75">
      <c r="B37" s="92"/>
      <c r="C37" s="92"/>
      <c r="D37" s="92"/>
      <c r="E37" s="92"/>
      <c r="F37" s="210"/>
      <c r="G37" s="210"/>
      <c r="H37" s="210"/>
      <c r="I37" s="182"/>
      <c r="J37" s="182"/>
      <c r="K37" s="182"/>
      <c r="L37" s="182"/>
      <c r="M37" s="93"/>
      <c r="N37" s="93"/>
      <c r="O37" s="93"/>
      <c r="P37" s="93"/>
      <c r="Q37" s="93"/>
      <c r="R37" s="93"/>
      <c r="S37" s="93"/>
      <c r="T37" s="93"/>
    </row>
    <row r="38" s="261" customFormat="1" ht="15" hidden="1">
      <c r="A38" s="260" t="s">
        <v>126</v>
      </c>
    </row>
    <row r="39" spans="2:8" s="262" customFormat="1" ht="15" hidden="1">
      <c r="B39" s="263" t="s">
        <v>178</v>
      </c>
      <c r="C39" s="263"/>
      <c r="D39" s="263"/>
      <c r="E39" s="263"/>
      <c r="F39" s="263"/>
      <c r="G39" s="263"/>
      <c r="H39" s="263"/>
    </row>
    <row r="40" spans="2:8" s="264" customFormat="1" ht="15" hidden="1">
      <c r="B40" s="263" t="s">
        <v>179</v>
      </c>
      <c r="C40" s="189"/>
      <c r="D40" s="189"/>
      <c r="E40" s="189"/>
      <c r="F40" s="189"/>
      <c r="G40" s="189"/>
      <c r="H40" s="189"/>
    </row>
    <row r="41" ht="12.75" hidden="1"/>
    <row r="42" ht="12.75" hidden="1"/>
    <row r="43" ht="12.75" hidden="1"/>
    <row r="44" ht="12.75" hidden="1"/>
    <row r="45" ht="12.75" hidden="1"/>
  </sheetData>
  <sheetProtection/>
  <mergeCells count="48">
    <mergeCell ref="C6:C10"/>
    <mergeCell ref="E9:E10"/>
    <mergeCell ref="A11:B11"/>
    <mergeCell ref="F9:F10"/>
    <mergeCell ref="A6:B10"/>
    <mergeCell ref="D9:D10"/>
    <mergeCell ref="D7:J7"/>
    <mergeCell ref="F8:G8"/>
    <mergeCell ref="H9:H10"/>
    <mergeCell ref="G9:G10"/>
    <mergeCell ref="H8:I8"/>
    <mergeCell ref="I9:I10"/>
    <mergeCell ref="A14:B14"/>
    <mergeCell ref="P5:T5"/>
    <mergeCell ref="D6:J6"/>
    <mergeCell ref="A12:B12"/>
    <mergeCell ref="N8:P9"/>
    <mergeCell ref="Q8:Q10"/>
    <mergeCell ref="R8:R10"/>
    <mergeCell ref="K6:T7"/>
    <mergeCell ref="A13:B13"/>
    <mergeCell ref="D8:E8"/>
    <mergeCell ref="M35:T35"/>
    <mergeCell ref="M29:T29"/>
    <mergeCell ref="B35:E35"/>
    <mergeCell ref="B29:E29"/>
    <mergeCell ref="B30:E30"/>
    <mergeCell ref="B31:E31"/>
    <mergeCell ref="M30:T30"/>
    <mergeCell ref="M31:T31"/>
    <mergeCell ref="B33:F33"/>
    <mergeCell ref="N33:S33"/>
    <mergeCell ref="A1:C1"/>
    <mergeCell ref="A3:C3"/>
    <mergeCell ref="A4:C4"/>
    <mergeCell ref="E2:N2"/>
    <mergeCell ref="A2:D2"/>
    <mergeCell ref="D4:N4"/>
    <mergeCell ref="E1:N1"/>
    <mergeCell ref="E3:N3"/>
    <mergeCell ref="K8:M9"/>
    <mergeCell ref="J8:J10"/>
    <mergeCell ref="P1:T1"/>
    <mergeCell ref="P2:T2"/>
    <mergeCell ref="P3:T3"/>
    <mergeCell ref="P4:T4"/>
    <mergeCell ref="T8:T10"/>
    <mergeCell ref="S8:S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77" customWidth="1"/>
    <col min="2" max="2" width="26.875" style="277" customWidth="1"/>
    <col min="3" max="3" width="11.625" style="233" customWidth="1"/>
    <col min="4" max="7" width="9.00390625" style="233" customWidth="1"/>
    <col min="8" max="9" width="10.125" style="233" customWidth="1"/>
    <col min="10" max="12" width="9.00390625" style="233" customWidth="1"/>
    <col min="13"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36" customHeight="1">
      <c r="A1" s="821" t="s">
        <v>180</v>
      </c>
      <c r="B1" s="821"/>
      <c r="C1" s="821"/>
      <c r="D1" s="824" t="s">
        <v>361</v>
      </c>
      <c r="E1" s="824"/>
      <c r="F1" s="824"/>
      <c r="G1" s="824"/>
      <c r="H1" s="824"/>
      <c r="I1" s="824"/>
      <c r="J1" s="825" t="s">
        <v>362</v>
      </c>
      <c r="K1" s="826"/>
      <c r="L1" s="826"/>
    </row>
    <row r="2" spans="1:12" ht="34.5" customHeight="1">
      <c r="A2" s="827" t="s">
        <v>323</v>
      </c>
      <c r="B2" s="827"/>
      <c r="C2" s="827"/>
      <c r="D2" s="824"/>
      <c r="E2" s="824"/>
      <c r="F2" s="824"/>
      <c r="G2" s="824"/>
      <c r="H2" s="824"/>
      <c r="I2" s="824"/>
      <c r="J2" s="828" t="s">
        <v>363</v>
      </c>
      <c r="K2" s="829"/>
      <c r="L2" s="829"/>
    </row>
    <row r="3" spans="1:12" ht="15" customHeight="1">
      <c r="A3" s="265" t="s">
        <v>253</v>
      </c>
      <c r="B3" s="174"/>
      <c r="C3" s="830"/>
      <c r="D3" s="830"/>
      <c r="E3" s="830"/>
      <c r="F3" s="830"/>
      <c r="G3" s="830"/>
      <c r="H3" s="830"/>
      <c r="I3" s="830"/>
      <c r="J3" s="822"/>
      <c r="K3" s="823"/>
      <c r="L3" s="823"/>
    </row>
    <row r="4" spans="1:12" ht="15.75" customHeight="1">
      <c r="A4" s="266"/>
      <c r="B4" s="266"/>
      <c r="C4" s="267"/>
      <c r="D4" s="267"/>
      <c r="E4" s="170"/>
      <c r="F4" s="170"/>
      <c r="G4" s="170"/>
      <c r="H4" s="268"/>
      <c r="I4" s="268"/>
      <c r="J4" s="831" t="s">
        <v>181</v>
      </c>
      <c r="K4" s="831"/>
      <c r="L4" s="831"/>
    </row>
    <row r="5" spans="1:12" s="269" customFormat="1" ht="28.5" customHeight="1">
      <c r="A5" s="816" t="s">
        <v>55</v>
      </c>
      <c r="B5" s="816"/>
      <c r="C5" s="731" t="s">
        <v>31</v>
      </c>
      <c r="D5" s="731" t="s">
        <v>182</v>
      </c>
      <c r="E5" s="731"/>
      <c r="F5" s="731"/>
      <c r="G5" s="731"/>
      <c r="H5" s="731" t="s">
        <v>183</v>
      </c>
      <c r="I5" s="731"/>
      <c r="J5" s="731" t="s">
        <v>184</v>
      </c>
      <c r="K5" s="731"/>
      <c r="L5" s="731"/>
    </row>
    <row r="6" spans="1:13" s="269" customFormat="1" ht="80.25" customHeight="1">
      <c r="A6" s="816"/>
      <c r="B6" s="816"/>
      <c r="C6" s="731"/>
      <c r="D6" s="215" t="s">
        <v>185</v>
      </c>
      <c r="E6" s="215" t="s">
        <v>186</v>
      </c>
      <c r="F6" s="215" t="s">
        <v>324</v>
      </c>
      <c r="G6" s="215" t="s">
        <v>187</v>
      </c>
      <c r="H6" s="215" t="s">
        <v>188</v>
      </c>
      <c r="I6" s="215" t="s">
        <v>189</v>
      </c>
      <c r="J6" s="215" t="s">
        <v>190</v>
      </c>
      <c r="K6" s="215" t="s">
        <v>191</v>
      </c>
      <c r="L6" s="215" t="s">
        <v>192</v>
      </c>
      <c r="M6" s="270"/>
    </row>
    <row r="7" spans="1:12" s="271" customFormat="1" ht="16.5" customHeight="1">
      <c r="A7" s="832" t="s">
        <v>6</v>
      </c>
      <c r="B7" s="832"/>
      <c r="C7" s="221">
        <v>1</v>
      </c>
      <c r="D7" s="221">
        <v>2</v>
      </c>
      <c r="E7" s="221">
        <v>3</v>
      </c>
      <c r="F7" s="221">
        <v>4</v>
      </c>
      <c r="G7" s="221">
        <v>5</v>
      </c>
      <c r="H7" s="221">
        <v>6</v>
      </c>
      <c r="I7" s="221">
        <v>7</v>
      </c>
      <c r="J7" s="221">
        <v>8</v>
      </c>
      <c r="K7" s="221">
        <v>9</v>
      </c>
      <c r="L7" s="221">
        <v>10</v>
      </c>
    </row>
    <row r="8" spans="1:12" s="271" customFormat="1" ht="16.5" customHeight="1">
      <c r="A8" s="819" t="s">
        <v>321</v>
      </c>
      <c r="B8" s="820"/>
      <c r="C8" s="223">
        <f aca="true" t="shared" si="0" ref="C8:L8">C10-C9</f>
        <v>-3</v>
      </c>
      <c r="D8" s="223">
        <f t="shared" si="0"/>
        <v>-1</v>
      </c>
      <c r="E8" s="223">
        <f t="shared" si="0"/>
        <v>0</v>
      </c>
      <c r="F8" s="223">
        <f t="shared" si="0"/>
        <v>0</v>
      </c>
      <c r="G8" s="223">
        <f t="shared" si="0"/>
        <v>-2</v>
      </c>
      <c r="H8" s="223">
        <f t="shared" si="0"/>
        <v>-2</v>
      </c>
      <c r="I8" s="223">
        <f t="shared" si="0"/>
        <v>0</v>
      </c>
      <c r="J8" s="223">
        <f t="shared" si="0"/>
        <v>-2</v>
      </c>
      <c r="K8" s="223">
        <f t="shared" si="0"/>
        <v>-1</v>
      </c>
      <c r="L8" s="223">
        <f t="shared" si="0"/>
        <v>0</v>
      </c>
    </row>
    <row r="9" spans="1:12" s="271" customFormat="1" ht="16.5" customHeight="1">
      <c r="A9" s="817" t="s">
        <v>297</v>
      </c>
      <c r="B9" s="818"/>
      <c r="C9" s="224">
        <v>9</v>
      </c>
      <c r="D9" s="224">
        <v>2</v>
      </c>
      <c r="E9" s="224">
        <v>2</v>
      </c>
      <c r="F9" s="224">
        <v>0</v>
      </c>
      <c r="G9" s="224">
        <v>5</v>
      </c>
      <c r="H9" s="224">
        <v>8</v>
      </c>
      <c r="I9" s="224">
        <v>0</v>
      </c>
      <c r="J9" s="224">
        <v>8</v>
      </c>
      <c r="K9" s="224">
        <v>1</v>
      </c>
      <c r="L9" s="224">
        <v>0</v>
      </c>
    </row>
    <row r="10" spans="1:12" s="271" customFormat="1" ht="16.5" customHeight="1">
      <c r="A10" s="833" t="s">
        <v>177</v>
      </c>
      <c r="B10" s="833"/>
      <c r="C10" s="226">
        <f aca="true" t="shared" si="1" ref="C10:L10">C11+C12</f>
        <v>6</v>
      </c>
      <c r="D10" s="226">
        <f t="shared" si="1"/>
        <v>1</v>
      </c>
      <c r="E10" s="226">
        <f t="shared" si="1"/>
        <v>2</v>
      </c>
      <c r="F10" s="226">
        <f t="shared" si="1"/>
        <v>0</v>
      </c>
      <c r="G10" s="226">
        <f t="shared" si="1"/>
        <v>3</v>
      </c>
      <c r="H10" s="226">
        <f t="shared" si="1"/>
        <v>6</v>
      </c>
      <c r="I10" s="226">
        <f t="shared" si="1"/>
        <v>0</v>
      </c>
      <c r="J10" s="226">
        <f t="shared" si="1"/>
        <v>6</v>
      </c>
      <c r="K10" s="226">
        <f t="shared" si="1"/>
        <v>0</v>
      </c>
      <c r="L10" s="226">
        <f t="shared" si="1"/>
        <v>0</v>
      </c>
    </row>
    <row r="11" spans="1:12" s="271" customFormat="1" ht="16.5" customHeight="1">
      <c r="A11" s="197" t="s">
        <v>0</v>
      </c>
      <c r="B11" s="198" t="s">
        <v>193</v>
      </c>
      <c r="C11" s="272">
        <f>D11+E11+F11+G11</f>
        <v>3</v>
      </c>
      <c r="D11" s="231">
        <v>1</v>
      </c>
      <c r="E11" s="231">
        <v>0</v>
      </c>
      <c r="F11" s="231">
        <v>0</v>
      </c>
      <c r="G11" s="231">
        <v>2</v>
      </c>
      <c r="H11" s="231">
        <v>3</v>
      </c>
      <c r="I11" s="231">
        <v>0</v>
      </c>
      <c r="J11" s="273">
        <v>3</v>
      </c>
      <c r="K11" s="273">
        <v>0</v>
      </c>
      <c r="L11" s="273">
        <v>0</v>
      </c>
    </row>
    <row r="12" spans="1:12" s="271" customFormat="1" ht="16.5" customHeight="1">
      <c r="A12" s="197" t="s">
        <v>1</v>
      </c>
      <c r="B12" s="198" t="s">
        <v>17</v>
      </c>
      <c r="C12" s="226">
        <f aca="true" t="shared" si="2" ref="C12:L12">C13+C14+C15+C16+C17+C18+C19+C20+C21+C22+C23</f>
        <v>3</v>
      </c>
      <c r="D12" s="226">
        <f t="shared" si="2"/>
        <v>0</v>
      </c>
      <c r="E12" s="226">
        <f t="shared" si="2"/>
        <v>2</v>
      </c>
      <c r="F12" s="226">
        <f t="shared" si="2"/>
        <v>0</v>
      </c>
      <c r="G12" s="226">
        <f t="shared" si="2"/>
        <v>1</v>
      </c>
      <c r="H12" s="226">
        <f t="shared" si="2"/>
        <v>3</v>
      </c>
      <c r="I12" s="226">
        <f t="shared" si="2"/>
        <v>0</v>
      </c>
      <c r="J12" s="226">
        <f t="shared" si="2"/>
        <v>3</v>
      </c>
      <c r="K12" s="226">
        <f t="shared" si="2"/>
        <v>0</v>
      </c>
      <c r="L12" s="226">
        <f t="shared" si="2"/>
        <v>0</v>
      </c>
    </row>
    <row r="13" spans="1:32" s="271" customFormat="1" ht="16.5" customHeight="1">
      <c r="A13" s="274">
        <v>1</v>
      </c>
      <c r="B13" s="68" t="s">
        <v>266</v>
      </c>
      <c r="C13" s="272">
        <f aca="true" t="shared" si="3" ref="C13:C23">D13+E13+F13+G13</f>
        <v>0</v>
      </c>
      <c r="D13" s="231">
        <v>0</v>
      </c>
      <c r="E13" s="231">
        <v>0</v>
      </c>
      <c r="F13" s="231">
        <v>0</v>
      </c>
      <c r="G13" s="231">
        <v>0</v>
      </c>
      <c r="H13" s="231">
        <v>0</v>
      </c>
      <c r="I13" s="231">
        <v>0</v>
      </c>
      <c r="J13" s="273">
        <v>0</v>
      </c>
      <c r="K13" s="273">
        <v>0</v>
      </c>
      <c r="L13" s="273">
        <v>0</v>
      </c>
      <c r="AF13" s="271" t="s">
        <v>265</v>
      </c>
    </row>
    <row r="14" spans="1:37" s="271" customFormat="1" ht="16.5" customHeight="1">
      <c r="A14" s="274">
        <v>2</v>
      </c>
      <c r="B14" s="68" t="s">
        <v>298</v>
      </c>
      <c r="C14" s="272">
        <f t="shared" si="3"/>
        <v>0</v>
      </c>
      <c r="D14" s="228">
        <v>0</v>
      </c>
      <c r="E14" s="231">
        <v>0</v>
      </c>
      <c r="F14" s="231">
        <v>0</v>
      </c>
      <c r="G14" s="231">
        <v>0</v>
      </c>
      <c r="H14" s="231">
        <v>0</v>
      </c>
      <c r="I14" s="231">
        <v>0</v>
      </c>
      <c r="J14" s="273">
        <v>0</v>
      </c>
      <c r="K14" s="273">
        <v>0</v>
      </c>
      <c r="L14" s="273">
        <v>0</v>
      </c>
      <c r="AK14" s="199"/>
    </row>
    <row r="15" spans="1:13" s="271" customFormat="1" ht="16.5" customHeight="1">
      <c r="A15" s="274">
        <v>3</v>
      </c>
      <c r="B15" s="68" t="s">
        <v>269</v>
      </c>
      <c r="C15" s="272">
        <f t="shared" si="3"/>
        <v>0</v>
      </c>
      <c r="D15" s="231">
        <v>0</v>
      </c>
      <c r="E15" s="231">
        <v>0</v>
      </c>
      <c r="F15" s="231">
        <v>0</v>
      </c>
      <c r="G15" s="231">
        <v>0</v>
      </c>
      <c r="H15" s="275">
        <v>0</v>
      </c>
      <c r="I15" s="275">
        <v>0</v>
      </c>
      <c r="J15" s="276">
        <v>0</v>
      </c>
      <c r="K15" s="273">
        <v>0</v>
      </c>
      <c r="L15" s="273">
        <v>0</v>
      </c>
      <c r="M15" s="178"/>
    </row>
    <row r="16" spans="1:38" s="271" customFormat="1" ht="16.5" customHeight="1">
      <c r="A16" s="274">
        <v>4</v>
      </c>
      <c r="B16" s="68" t="s">
        <v>270</v>
      </c>
      <c r="C16" s="272">
        <f t="shared" si="3"/>
        <v>0</v>
      </c>
      <c r="D16" s="231">
        <v>0</v>
      </c>
      <c r="E16" s="231">
        <v>0</v>
      </c>
      <c r="F16" s="231">
        <v>0</v>
      </c>
      <c r="G16" s="231">
        <v>0</v>
      </c>
      <c r="H16" s="275">
        <v>0</v>
      </c>
      <c r="I16" s="275">
        <v>0</v>
      </c>
      <c r="J16" s="276">
        <v>0</v>
      </c>
      <c r="K16" s="273">
        <v>0</v>
      </c>
      <c r="L16" s="273">
        <v>0</v>
      </c>
      <c r="M16" s="178"/>
      <c r="AL16" s="199"/>
    </row>
    <row r="17" spans="1:32" s="271" customFormat="1" ht="16.5" customHeight="1">
      <c r="A17" s="274">
        <v>5</v>
      </c>
      <c r="B17" s="68" t="s">
        <v>325</v>
      </c>
      <c r="C17" s="272">
        <f t="shared" si="3"/>
        <v>1</v>
      </c>
      <c r="D17" s="231">
        <v>0</v>
      </c>
      <c r="E17" s="231">
        <v>0</v>
      </c>
      <c r="F17" s="231">
        <v>0</v>
      </c>
      <c r="G17" s="231">
        <v>1</v>
      </c>
      <c r="H17" s="231">
        <v>1</v>
      </c>
      <c r="I17" s="231">
        <v>0</v>
      </c>
      <c r="J17" s="273">
        <v>1</v>
      </c>
      <c r="K17" s="273">
        <v>0</v>
      </c>
      <c r="L17" s="273">
        <v>0</v>
      </c>
      <c r="AF17" s="199" t="s">
        <v>268</v>
      </c>
    </row>
    <row r="18" spans="1:12" s="271" customFormat="1" ht="16.5" customHeight="1">
      <c r="A18" s="274">
        <v>6</v>
      </c>
      <c r="B18" s="68" t="s">
        <v>272</v>
      </c>
      <c r="C18" s="272">
        <f t="shared" si="3"/>
        <v>1</v>
      </c>
      <c r="D18" s="231">
        <v>0</v>
      </c>
      <c r="E18" s="231">
        <v>1</v>
      </c>
      <c r="F18" s="231">
        <v>0</v>
      </c>
      <c r="G18" s="231">
        <v>0</v>
      </c>
      <c r="H18" s="231">
        <v>1</v>
      </c>
      <c r="I18" s="231">
        <v>0</v>
      </c>
      <c r="J18" s="273">
        <v>1</v>
      </c>
      <c r="K18" s="273">
        <v>0</v>
      </c>
      <c r="L18" s="273">
        <v>0</v>
      </c>
    </row>
    <row r="19" spans="1:12" s="271" customFormat="1" ht="16.5" customHeight="1">
      <c r="A19" s="274">
        <v>7</v>
      </c>
      <c r="B19" s="68" t="s">
        <v>277</v>
      </c>
      <c r="C19" s="272">
        <f t="shared" si="3"/>
        <v>0</v>
      </c>
      <c r="D19" s="231">
        <v>0</v>
      </c>
      <c r="E19" s="231">
        <v>0</v>
      </c>
      <c r="F19" s="231">
        <v>0</v>
      </c>
      <c r="G19" s="231">
        <v>0</v>
      </c>
      <c r="H19" s="231">
        <v>0</v>
      </c>
      <c r="I19" s="231">
        <v>0</v>
      </c>
      <c r="J19" s="273">
        <v>0</v>
      </c>
      <c r="K19" s="273">
        <v>0</v>
      </c>
      <c r="L19" s="273">
        <v>0</v>
      </c>
    </row>
    <row r="20" spans="1:12" s="271" customFormat="1" ht="16.5" customHeight="1">
      <c r="A20" s="274">
        <v>8</v>
      </c>
      <c r="B20" s="68" t="s">
        <v>279</v>
      </c>
      <c r="C20" s="272">
        <f t="shared" si="3"/>
        <v>0</v>
      </c>
      <c r="D20" s="231">
        <v>0</v>
      </c>
      <c r="E20" s="231">
        <v>0</v>
      </c>
      <c r="F20" s="231">
        <v>0</v>
      </c>
      <c r="G20" s="231">
        <v>0</v>
      </c>
      <c r="H20" s="231">
        <v>0</v>
      </c>
      <c r="I20" s="231">
        <v>0</v>
      </c>
      <c r="J20" s="273">
        <v>0</v>
      </c>
      <c r="K20" s="273">
        <v>0</v>
      </c>
      <c r="L20" s="273">
        <v>0</v>
      </c>
    </row>
    <row r="21" spans="1:39" s="271" customFormat="1" ht="16.5" customHeight="1">
      <c r="A21" s="274">
        <v>9</v>
      </c>
      <c r="B21" s="68" t="s">
        <v>280</v>
      </c>
      <c r="C21" s="272">
        <f t="shared" si="3"/>
        <v>0</v>
      </c>
      <c r="D21" s="231">
        <v>0</v>
      </c>
      <c r="E21" s="231">
        <v>0</v>
      </c>
      <c r="F21" s="231">
        <v>0</v>
      </c>
      <c r="G21" s="231">
        <v>0</v>
      </c>
      <c r="H21" s="231">
        <v>0</v>
      </c>
      <c r="I21" s="231">
        <v>0</v>
      </c>
      <c r="J21" s="273">
        <v>0</v>
      </c>
      <c r="K21" s="273">
        <v>0</v>
      </c>
      <c r="L21" s="273">
        <v>0</v>
      </c>
      <c r="AJ21" s="271" t="s">
        <v>273</v>
      </c>
      <c r="AK21" s="271" t="s">
        <v>274</v>
      </c>
      <c r="AL21" s="271" t="s">
        <v>275</v>
      </c>
      <c r="AM21" s="199" t="s">
        <v>276</v>
      </c>
    </row>
    <row r="22" spans="1:39" s="271" customFormat="1" ht="16.5" customHeight="1">
      <c r="A22" s="274">
        <v>10</v>
      </c>
      <c r="B22" s="68" t="s">
        <v>281</v>
      </c>
      <c r="C22" s="272">
        <f t="shared" si="3"/>
        <v>1</v>
      </c>
      <c r="D22" s="231">
        <v>0</v>
      </c>
      <c r="E22" s="231">
        <v>1</v>
      </c>
      <c r="F22" s="231">
        <v>0</v>
      </c>
      <c r="G22" s="231">
        <v>0</v>
      </c>
      <c r="H22" s="231">
        <v>1</v>
      </c>
      <c r="I22" s="231">
        <v>0</v>
      </c>
      <c r="J22" s="273">
        <v>1</v>
      </c>
      <c r="K22" s="273">
        <v>0</v>
      </c>
      <c r="L22" s="273">
        <v>0</v>
      </c>
      <c r="AM22" s="199" t="s">
        <v>278</v>
      </c>
    </row>
    <row r="23" spans="1:12" s="271" customFormat="1" ht="16.5" customHeight="1">
      <c r="A23" s="274">
        <v>11</v>
      </c>
      <c r="B23" s="68" t="s">
        <v>283</v>
      </c>
      <c r="C23" s="272">
        <f t="shared" si="3"/>
        <v>0</v>
      </c>
      <c r="D23" s="231">
        <v>0</v>
      </c>
      <c r="E23" s="231">
        <v>0</v>
      </c>
      <c r="F23" s="231">
        <v>0</v>
      </c>
      <c r="G23" s="231">
        <v>0</v>
      </c>
      <c r="H23" s="231">
        <v>0</v>
      </c>
      <c r="I23" s="231">
        <v>0</v>
      </c>
      <c r="J23" s="273">
        <v>0</v>
      </c>
      <c r="K23" s="273">
        <v>0</v>
      </c>
      <c r="L23" s="273">
        <v>0</v>
      </c>
    </row>
    <row r="24" ht="9" customHeight="1">
      <c r="AJ24" s="233" t="s">
        <v>273</v>
      </c>
    </row>
    <row r="25" spans="1:36" ht="15.75" customHeight="1">
      <c r="A25" s="766" t="s">
        <v>326</v>
      </c>
      <c r="B25" s="766"/>
      <c r="C25" s="766"/>
      <c r="D25" s="766"/>
      <c r="E25" s="182"/>
      <c r="F25" s="771" t="s">
        <v>284</v>
      </c>
      <c r="G25" s="771"/>
      <c r="H25" s="771"/>
      <c r="I25" s="771"/>
      <c r="J25" s="771"/>
      <c r="K25" s="771"/>
      <c r="L25" s="771"/>
      <c r="AJ25" s="190" t="s">
        <v>282</v>
      </c>
    </row>
    <row r="26" spans="1:44" ht="15" customHeight="1">
      <c r="A26" s="756" t="s">
        <v>150</v>
      </c>
      <c r="B26" s="756"/>
      <c r="C26" s="756"/>
      <c r="D26" s="756"/>
      <c r="E26" s="183"/>
      <c r="F26" s="759" t="s">
        <v>151</v>
      </c>
      <c r="G26" s="759"/>
      <c r="H26" s="759"/>
      <c r="I26" s="759"/>
      <c r="J26" s="759"/>
      <c r="K26" s="759"/>
      <c r="L26" s="759"/>
      <c r="AR26" s="190"/>
    </row>
    <row r="27" spans="1:12" s="170" customFormat="1" ht="18.75">
      <c r="A27" s="753"/>
      <c r="B27" s="753"/>
      <c r="C27" s="753"/>
      <c r="D27" s="753"/>
      <c r="E27" s="182"/>
      <c r="F27" s="754"/>
      <c r="G27" s="754"/>
      <c r="H27" s="754"/>
      <c r="I27" s="754"/>
      <c r="J27" s="754"/>
      <c r="K27" s="754"/>
      <c r="L27" s="754"/>
    </row>
    <row r="28" spans="1:35" ht="18">
      <c r="A28" s="187"/>
      <c r="B28" s="187"/>
      <c r="C28" s="182"/>
      <c r="D28" s="182"/>
      <c r="E28" s="182"/>
      <c r="F28" s="182"/>
      <c r="G28" s="182"/>
      <c r="H28" s="182"/>
      <c r="I28" s="182"/>
      <c r="J28" s="182"/>
      <c r="K28" s="182"/>
      <c r="L28" s="182"/>
      <c r="AG28" s="233" t="s">
        <v>285</v>
      </c>
      <c r="AI28" s="190">
        <f>82/88</f>
        <v>0.9318181818181818</v>
      </c>
    </row>
    <row r="29" spans="1:12" ht="18">
      <c r="A29" s="187"/>
      <c r="B29" s="815" t="s">
        <v>288</v>
      </c>
      <c r="C29" s="815"/>
      <c r="D29" s="182"/>
      <c r="E29" s="182"/>
      <c r="F29" s="182"/>
      <c r="G29" s="182"/>
      <c r="H29" s="815" t="s">
        <v>288</v>
      </c>
      <c r="I29" s="815"/>
      <c r="J29" s="815"/>
      <c r="K29" s="182"/>
      <c r="L29" s="182"/>
    </row>
    <row r="30" spans="1:12" ht="13.5" customHeight="1">
      <c r="A30" s="187"/>
      <c r="B30" s="187"/>
      <c r="C30" s="182"/>
      <c r="D30" s="182"/>
      <c r="E30" s="182"/>
      <c r="F30" s="182"/>
      <c r="G30" s="182"/>
      <c r="H30" s="182"/>
      <c r="I30" s="182"/>
      <c r="J30" s="182"/>
      <c r="K30" s="182"/>
      <c r="L30" s="182"/>
    </row>
    <row r="31" spans="1:12" ht="13.5" customHeight="1" hidden="1">
      <c r="A31" s="187"/>
      <c r="B31" s="187"/>
      <c r="C31" s="182"/>
      <c r="D31" s="182"/>
      <c r="E31" s="182"/>
      <c r="F31" s="182"/>
      <c r="G31" s="182"/>
      <c r="H31" s="182"/>
      <c r="I31" s="182"/>
      <c r="J31" s="182"/>
      <c r="K31" s="182"/>
      <c r="L31" s="182"/>
    </row>
    <row r="32" spans="1:12" s="184" customFormat="1" ht="19.5" hidden="1">
      <c r="A32" s="278" t="s">
        <v>194</v>
      </c>
      <c r="B32" s="185"/>
      <c r="C32" s="186"/>
      <c r="D32" s="186"/>
      <c r="E32" s="186"/>
      <c r="F32" s="186"/>
      <c r="G32" s="186"/>
      <c r="H32" s="186"/>
      <c r="I32" s="186"/>
      <c r="J32" s="186"/>
      <c r="K32" s="186"/>
      <c r="L32" s="186"/>
    </row>
    <row r="33" spans="1:12" s="211" customFormat="1" ht="18.75" hidden="1">
      <c r="A33" s="237"/>
      <c r="B33" s="279" t="s">
        <v>195</v>
      </c>
      <c r="C33" s="279"/>
      <c r="D33" s="279"/>
      <c r="E33" s="236"/>
      <c r="F33" s="236"/>
      <c r="G33" s="236"/>
      <c r="H33" s="236"/>
      <c r="I33" s="236"/>
      <c r="J33" s="236"/>
      <c r="K33" s="236"/>
      <c r="L33" s="236"/>
    </row>
    <row r="34" spans="1:12" s="211" customFormat="1" ht="18.75" hidden="1">
      <c r="A34" s="237"/>
      <c r="B34" s="279" t="s">
        <v>196</v>
      </c>
      <c r="C34" s="279"/>
      <c r="D34" s="279"/>
      <c r="E34" s="279"/>
      <c r="F34" s="236"/>
      <c r="G34" s="236"/>
      <c r="H34" s="236"/>
      <c r="I34" s="236"/>
      <c r="J34" s="236"/>
      <c r="K34" s="236"/>
      <c r="L34" s="236"/>
    </row>
    <row r="35" spans="1:12" s="211" customFormat="1" ht="18.75" hidden="1">
      <c r="A35" s="237"/>
      <c r="B35" s="236" t="s">
        <v>197</v>
      </c>
      <c r="C35" s="236"/>
      <c r="D35" s="236"/>
      <c r="E35" s="236"/>
      <c r="F35" s="236"/>
      <c r="G35" s="236"/>
      <c r="H35" s="236"/>
      <c r="I35" s="236"/>
      <c r="J35" s="236"/>
      <c r="K35" s="236"/>
      <c r="L35" s="236"/>
    </row>
    <row r="36" spans="1:12" ht="18">
      <c r="A36" s="187"/>
      <c r="B36" s="187"/>
      <c r="C36" s="182"/>
      <c r="D36" s="182"/>
      <c r="E36" s="182"/>
      <c r="F36" s="182"/>
      <c r="G36" s="182"/>
      <c r="H36" s="182"/>
      <c r="I36" s="182"/>
      <c r="J36" s="182"/>
      <c r="K36" s="182"/>
      <c r="L36" s="182"/>
    </row>
    <row r="37" spans="1:13" ht="18.75">
      <c r="A37" s="650" t="s">
        <v>241</v>
      </c>
      <c r="B37" s="650"/>
      <c r="C37" s="650"/>
      <c r="D37" s="650"/>
      <c r="E37" s="210"/>
      <c r="F37" s="651" t="s">
        <v>242</v>
      </c>
      <c r="G37" s="651"/>
      <c r="H37" s="651"/>
      <c r="I37" s="651"/>
      <c r="J37" s="651"/>
      <c r="K37" s="651"/>
      <c r="L37" s="651"/>
      <c r="M37" s="127"/>
    </row>
    <row r="38" spans="1:12" ht="18">
      <c r="A38" s="187"/>
      <c r="B38" s="187"/>
      <c r="C38" s="182"/>
      <c r="D38" s="182"/>
      <c r="E38" s="182"/>
      <c r="F38" s="182"/>
      <c r="G38" s="182"/>
      <c r="H38" s="182"/>
      <c r="I38" s="182"/>
      <c r="J38" s="182"/>
      <c r="K38" s="182"/>
      <c r="L38" s="182"/>
    </row>
  </sheetData>
  <sheetProtection/>
  <mergeCells count="27">
    <mergeCell ref="A37:D37"/>
    <mergeCell ref="J4:L4"/>
    <mergeCell ref="F37:L37"/>
    <mergeCell ref="F27:L27"/>
    <mergeCell ref="A7:B7"/>
    <mergeCell ref="C5:C6"/>
    <mergeCell ref="A10:B10"/>
    <mergeCell ref="A26:D26"/>
    <mergeCell ref="F26:L26"/>
    <mergeCell ref="A27:D27"/>
    <mergeCell ref="A1:C1"/>
    <mergeCell ref="J3:L3"/>
    <mergeCell ref="D1:I2"/>
    <mergeCell ref="J1:L1"/>
    <mergeCell ref="A2:C2"/>
    <mergeCell ref="J2:L2"/>
    <mergeCell ref="C3:I3"/>
    <mergeCell ref="B29:C29"/>
    <mergeCell ref="H29:J29"/>
    <mergeCell ref="A5:B6"/>
    <mergeCell ref="A25:D25"/>
    <mergeCell ref="J5:L5"/>
    <mergeCell ref="H5:I5"/>
    <mergeCell ref="D5:G5"/>
    <mergeCell ref="F25:L25"/>
    <mergeCell ref="A9:B9"/>
    <mergeCell ref="A8:B8"/>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33" customWidth="1"/>
    <col min="2" max="2" width="20.875" style="233" customWidth="1"/>
    <col min="3" max="3" width="11.875" style="233" customWidth="1"/>
    <col min="4" max="4" width="9.875" style="233" customWidth="1"/>
    <col min="5" max="5" width="9.375" style="233" customWidth="1"/>
    <col min="6" max="6" width="9.625" style="233" customWidth="1"/>
    <col min="7" max="7" width="10.125" style="233" customWidth="1"/>
    <col min="8" max="9" width="10.625" style="233" customWidth="1"/>
    <col min="10" max="10" width="12.50390625" style="233" customWidth="1"/>
    <col min="11" max="11" width="8.875" style="233" customWidth="1"/>
    <col min="12" max="12" width="10.625" style="305" customWidth="1"/>
    <col min="13" max="13" width="7.375" style="233" customWidth="1"/>
    <col min="14"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24" customHeight="1">
      <c r="A1" s="834" t="s">
        <v>198</v>
      </c>
      <c r="B1" s="834"/>
      <c r="C1" s="834"/>
      <c r="D1" s="824" t="s">
        <v>364</v>
      </c>
      <c r="E1" s="824"/>
      <c r="F1" s="824"/>
      <c r="G1" s="824"/>
      <c r="H1" s="824"/>
      <c r="I1" s="170"/>
      <c r="J1" s="171" t="s">
        <v>358</v>
      </c>
      <c r="K1" s="280"/>
      <c r="L1" s="280"/>
    </row>
    <row r="2" spans="1:12" ht="15.75" customHeight="1">
      <c r="A2" s="838" t="s">
        <v>299</v>
      </c>
      <c r="B2" s="838"/>
      <c r="C2" s="838"/>
      <c r="D2" s="824"/>
      <c r="E2" s="824"/>
      <c r="F2" s="824"/>
      <c r="G2" s="824"/>
      <c r="H2" s="824"/>
      <c r="I2" s="170"/>
      <c r="J2" s="281" t="s">
        <v>300</v>
      </c>
      <c r="K2" s="281"/>
      <c r="L2" s="281"/>
    </row>
    <row r="3" spans="1:12" ht="18.75" customHeight="1">
      <c r="A3" s="744" t="s">
        <v>251</v>
      </c>
      <c r="B3" s="744"/>
      <c r="C3" s="744"/>
      <c r="D3" s="167"/>
      <c r="E3" s="167"/>
      <c r="F3" s="167"/>
      <c r="G3" s="167"/>
      <c r="H3" s="167"/>
      <c r="I3" s="170"/>
      <c r="J3" s="174" t="s">
        <v>357</v>
      </c>
      <c r="K3" s="174"/>
      <c r="L3" s="174"/>
    </row>
    <row r="4" spans="1:12" ht="15.75" customHeight="1">
      <c r="A4" s="835" t="s">
        <v>327</v>
      </c>
      <c r="B4" s="835"/>
      <c r="C4" s="835"/>
      <c r="D4" s="850"/>
      <c r="E4" s="850"/>
      <c r="F4" s="850"/>
      <c r="G4" s="850"/>
      <c r="H4" s="850"/>
      <c r="I4" s="170"/>
      <c r="J4" s="282" t="s">
        <v>292</v>
      </c>
      <c r="K4" s="282"/>
      <c r="L4" s="282"/>
    </row>
    <row r="5" spans="1:12" ht="15.75">
      <c r="A5" s="839"/>
      <c r="B5" s="839"/>
      <c r="C5" s="166"/>
      <c r="D5" s="170"/>
      <c r="E5" s="170"/>
      <c r="F5" s="170"/>
      <c r="G5" s="170"/>
      <c r="H5" s="283"/>
      <c r="I5" s="851" t="s">
        <v>328</v>
      </c>
      <c r="J5" s="851"/>
      <c r="K5" s="851"/>
      <c r="L5" s="851"/>
    </row>
    <row r="6" spans="1:12" ht="18.75" customHeight="1">
      <c r="A6" s="736" t="s">
        <v>55</v>
      </c>
      <c r="B6" s="737"/>
      <c r="C6" s="846" t="s">
        <v>199</v>
      </c>
      <c r="D6" s="757" t="s">
        <v>200</v>
      </c>
      <c r="E6" s="849"/>
      <c r="F6" s="758"/>
      <c r="G6" s="757" t="s">
        <v>201</v>
      </c>
      <c r="H6" s="849"/>
      <c r="I6" s="849"/>
      <c r="J6" s="849"/>
      <c r="K6" s="849"/>
      <c r="L6" s="758"/>
    </row>
    <row r="7" spans="1:12" ht="15.75" customHeight="1">
      <c r="A7" s="738"/>
      <c r="B7" s="739"/>
      <c r="C7" s="848"/>
      <c r="D7" s="757" t="s">
        <v>7</v>
      </c>
      <c r="E7" s="849"/>
      <c r="F7" s="758"/>
      <c r="G7" s="846" t="s">
        <v>30</v>
      </c>
      <c r="H7" s="757" t="s">
        <v>7</v>
      </c>
      <c r="I7" s="849"/>
      <c r="J7" s="849"/>
      <c r="K7" s="849"/>
      <c r="L7" s="758"/>
    </row>
    <row r="8" spans="1:12" ht="14.25" customHeight="1">
      <c r="A8" s="738"/>
      <c r="B8" s="739"/>
      <c r="C8" s="848"/>
      <c r="D8" s="846" t="s">
        <v>202</v>
      </c>
      <c r="E8" s="846" t="s">
        <v>203</v>
      </c>
      <c r="F8" s="846" t="s">
        <v>204</v>
      </c>
      <c r="G8" s="848"/>
      <c r="H8" s="846" t="s">
        <v>205</v>
      </c>
      <c r="I8" s="846" t="s">
        <v>206</v>
      </c>
      <c r="J8" s="846" t="s">
        <v>207</v>
      </c>
      <c r="K8" s="846" t="s">
        <v>208</v>
      </c>
      <c r="L8" s="846" t="s">
        <v>209</v>
      </c>
    </row>
    <row r="9" spans="1:12" ht="77.25" customHeight="1">
      <c r="A9" s="740"/>
      <c r="B9" s="741"/>
      <c r="C9" s="847"/>
      <c r="D9" s="847"/>
      <c r="E9" s="847"/>
      <c r="F9" s="847"/>
      <c r="G9" s="847"/>
      <c r="H9" s="847"/>
      <c r="I9" s="847"/>
      <c r="J9" s="847"/>
      <c r="K9" s="847"/>
      <c r="L9" s="847"/>
    </row>
    <row r="10" spans="1:12" s="271" customFormat="1" ht="16.5" customHeight="1">
      <c r="A10" s="840" t="s">
        <v>6</v>
      </c>
      <c r="B10" s="841"/>
      <c r="C10" s="220">
        <v>1</v>
      </c>
      <c r="D10" s="220">
        <v>2</v>
      </c>
      <c r="E10" s="220">
        <v>3</v>
      </c>
      <c r="F10" s="220">
        <v>4</v>
      </c>
      <c r="G10" s="220">
        <v>5</v>
      </c>
      <c r="H10" s="220">
        <v>6</v>
      </c>
      <c r="I10" s="220">
        <v>7</v>
      </c>
      <c r="J10" s="220">
        <v>8</v>
      </c>
      <c r="K10" s="221" t="s">
        <v>61</v>
      </c>
      <c r="L10" s="221" t="s">
        <v>81</v>
      </c>
    </row>
    <row r="11" spans="1:12" s="271" customFormat="1" ht="16.5" customHeight="1">
      <c r="A11" s="844" t="s">
        <v>296</v>
      </c>
      <c r="B11" s="845"/>
      <c r="C11" s="223">
        <f aca="true" t="shared" si="0" ref="C11:L11">C13-C12</f>
        <v>-8</v>
      </c>
      <c r="D11" s="223">
        <f t="shared" si="0"/>
        <v>0</v>
      </c>
      <c r="E11" s="223">
        <f t="shared" si="0"/>
        <v>-1</v>
      </c>
      <c r="F11" s="223">
        <f t="shared" si="0"/>
        <v>-7</v>
      </c>
      <c r="G11" s="223">
        <f t="shared" si="0"/>
        <v>-6</v>
      </c>
      <c r="H11" s="223">
        <f t="shared" si="0"/>
        <v>0</v>
      </c>
      <c r="I11" s="223">
        <f t="shared" si="0"/>
        <v>0</v>
      </c>
      <c r="J11" s="223">
        <f t="shared" si="0"/>
        <v>0</v>
      </c>
      <c r="K11" s="223">
        <f t="shared" si="0"/>
        <v>-6</v>
      </c>
      <c r="L11" s="223">
        <f t="shared" si="0"/>
        <v>0</v>
      </c>
    </row>
    <row r="12" spans="1:12" s="271" customFormat="1" ht="16.5" customHeight="1">
      <c r="A12" s="842" t="s">
        <v>297</v>
      </c>
      <c r="B12" s="843"/>
      <c r="C12" s="224">
        <v>12</v>
      </c>
      <c r="D12" s="224">
        <v>0</v>
      </c>
      <c r="E12" s="224">
        <v>1</v>
      </c>
      <c r="F12" s="224">
        <v>11</v>
      </c>
      <c r="G12" s="224">
        <v>10</v>
      </c>
      <c r="H12" s="224">
        <v>0</v>
      </c>
      <c r="I12" s="224">
        <v>0</v>
      </c>
      <c r="J12" s="224">
        <v>0</v>
      </c>
      <c r="K12" s="224">
        <v>6</v>
      </c>
      <c r="L12" s="224">
        <v>4</v>
      </c>
    </row>
    <row r="13" spans="1:32" s="271" customFormat="1" ht="16.5" customHeight="1">
      <c r="A13" s="836" t="s">
        <v>30</v>
      </c>
      <c r="B13" s="837"/>
      <c r="C13" s="226">
        <f>C14+C15</f>
        <v>4</v>
      </c>
      <c r="D13" s="226">
        <f>D14+D15</f>
        <v>0</v>
      </c>
      <c r="E13" s="226">
        <f>E14+E15</f>
        <v>0</v>
      </c>
      <c r="F13" s="226">
        <f>F14+F15</f>
        <v>4</v>
      </c>
      <c r="G13" s="226">
        <f aca="true" t="shared" si="1" ref="G13:G26">H13+I13+J13+K13+L13</f>
        <v>4</v>
      </c>
      <c r="H13" s="226">
        <f>H14+H15</f>
        <v>0</v>
      </c>
      <c r="I13" s="226">
        <f>I14+I15</f>
        <v>0</v>
      </c>
      <c r="J13" s="226">
        <f>J14+J15</f>
        <v>0</v>
      </c>
      <c r="K13" s="226">
        <f>K14+K15</f>
        <v>0</v>
      </c>
      <c r="L13" s="226">
        <f>L14+L15</f>
        <v>4</v>
      </c>
      <c r="AF13" s="271" t="s">
        <v>265</v>
      </c>
    </row>
    <row r="14" spans="1:37" s="271" customFormat="1" ht="16.5" customHeight="1">
      <c r="A14" s="274" t="s">
        <v>0</v>
      </c>
      <c r="B14" s="198" t="s">
        <v>128</v>
      </c>
      <c r="C14" s="226">
        <f>D14+E14+F14</f>
        <v>0</v>
      </c>
      <c r="D14" s="272">
        <f>D15+D16</f>
        <v>0</v>
      </c>
      <c r="E14" s="231">
        <v>0</v>
      </c>
      <c r="F14" s="231">
        <v>0</v>
      </c>
      <c r="G14" s="226">
        <f t="shared" si="1"/>
        <v>0</v>
      </c>
      <c r="H14" s="284">
        <v>0</v>
      </c>
      <c r="I14" s="284">
        <v>0</v>
      </c>
      <c r="J14" s="273">
        <v>0</v>
      </c>
      <c r="K14" s="273">
        <v>0</v>
      </c>
      <c r="L14" s="273">
        <v>0</v>
      </c>
      <c r="AK14" s="199"/>
    </row>
    <row r="15" spans="1:13" s="271" customFormat="1" ht="16.5" customHeight="1">
      <c r="A15" s="200" t="s">
        <v>1</v>
      </c>
      <c r="B15" s="198" t="s">
        <v>17</v>
      </c>
      <c r="C15" s="226">
        <f>C16+C17+C18+C19+C20+C21+C22+C23+C24+C25+C26</f>
        <v>4</v>
      </c>
      <c r="D15" s="226">
        <f>D16+D17+D18+D19+D20+D21+D22+D23+D24+D25+D26</f>
        <v>0</v>
      </c>
      <c r="E15" s="226">
        <f>E16+E17+E18+E19+E20+E21+E22+E23+E24+E25+E26</f>
        <v>0</v>
      </c>
      <c r="F15" s="226">
        <f>F16+F17+F18+F19+F20+F21+F22+F23+F24+F25+F26</f>
        <v>4</v>
      </c>
      <c r="G15" s="226">
        <f t="shared" si="1"/>
        <v>4</v>
      </c>
      <c r="H15" s="226">
        <f>H16+H17+H18+H19+H20+H21+H22+H23+H24+H25+H26</f>
        <v>0</v>
      </c>
      <c r="I15" s="226">
        <f>I16+I17+I18+I19+I20+I21+I22+I23+I24+I25+I26</f>
        <v>0</v>
      </c>
      <c r="J15" s="226">
        <f>J16+J17+J18+J19+J20+J21+J22+J23+J24+J25+J26</f>
        <v>0</v>
      </c>
      <c r="K15" s="226">
        <f>K16+K17+K18+K19+K20+K21+K22+K23+K24+K25+K26</f>
        <v>0</v>
      </c>
      <c r="L15" s="226">
        <f>L16+L17+L18+L19+L20+L21+L22+L23+L24+L25+L26</f>
        <v>4</v>
      </c>
      <c r="M15" s="285"/>
    </row>
    <row r="16" spans="1:38" s="271" customFormat="1" ht="15.75" customHeight="1">
      <c r="A16" s="200">
        <v>1</v>
      </c>
      <c r="B16" s="68" t="s">
        <v>266</v>
      </c>
      <c r="C16" s="226">
        <f aca="true" t="shared" si="2" ref="C16:C26">D16+E16+F16</f>
        <v>0</v>
      </c>
      <c r="D16" s="228">
        <v>0</v>
      </c>
      <c r="E16" s="228">
        <v>0</v>
      </c>
      <c r="F16" s="228">
        <v>0</v>
      </c>
      <c r="G16" s="226">
        <f t="shared" si="1"/>
        <v>0</v>
      </c>
      <c r="H16" s="228">
        <v>0</v>
      </c>
      <c r="I16" s="228">
        <v>0</v>
      </c>
      <c r="J16" s="286">
        <v>0</v>
      </c>
      <c r="K16" s="286">
        <v>0</v>
      </c>
      <c r="L16" s="286">
        <v>0</v>
      </c>
      <c r="M16" s="285"/>
      <c r="AL16" s="199"/>
    </row>
    <row r="17" spans="1:32" s="271" customFormat="1" ht="15.75" customHeight="1">
      <c r="A17" s="200">
        <v>2</v>
      </c>
      <c r="B17" s="68" t="s">
        <v>267</v>
      </c>
      <c r="C17" s="226">
        <f t="shared" si="2"/>
        <v>1</v>
      </c>
      <c r="D17" s="231">
        <v>0</v>
      </c>
      <c r="E17" s="231">
        <v>0</v>
      </c>
      <c r="F17" s="231">
        <v>1</v>
      </c>
      <c r="G17" s="226">
        <f t="shared" si="1"/>
        <v>1</v>
      </c>
      <c r="H17" s="231">
        <v>0</v>
      </c>
      <c r="I17" s="231">
        <v>0</v>
      </c>
      <c r="J17" s="273">
        <v>0</v>
      </c>
      <c r="K17" s="273">
        <v>0</v>
      </c>
      <c r="L17" s="273">
        <v>1</v>
      </c>
      <c r="M17" s="285"/>
      <c r="AF17" s="199" t="s">
        <v>268</v>
      </c>
    </row>
    <row r="18" spans="1:14" s="271" customFormat="1" ht="15.75" customHeight="1">
      <c r="A18" s="200">
        <v>3</v>
      </c>
      <c r="B18" s="68" t="s">
        <v>269</v>
      </c>
      <c r="C18" s="226">
        <f t="shared" si="2"/>
        <v>0</v>
      </c>
      <c r="D18" s="275">
        <v>0</v>
      </c>
      <c r="E18" s="275">
        <v>0</v>
      </c>
      <c r="F18" s="275">
        <v>0</v>
      </c>
      <c r="G18" s="226">
        <f t="shared" si="1"/>
        <v>0</v>
      </c>
      <c r="H18" s="275">
        <v>0</v>
      </c>
      <c r="I18" s="275">
        <v>0</v>
      </c>
      <c r="J18" s="276">
        <v>0</v>
      </c>
      <c r="K18" s="276">
        <v>0</v>
      </c>
      <c r="L18" s="276">
        <v>0</v>
      </c>
      <c r="M18" s="285"/>
      <c r="N18" s="178"/>
    </row>
    <row r="19" spans="1:13" s="271" customFormat="1" ht="15.75" customHeight="1">
      <c r="A19" s="200">
        <v>4</v>
      </c>
      <c r="B19" s="68" t="s">
        <v>270</v>
      </c>
      <c r="C19" s="226">
        <f t="shared" si="2"/>
        <v>0</v>
      </c>
      <c r="D19" s="275">
        <v>0</v>
      </c>
      <c r="E19" s="275">
        <v>0</v>
      </c>
      <c r="F19" s="275">
        <v>0</v>
      </c>
      <c r="G19" s="226">
        <f t="shared" si="1"/>
        <v>0</v>
      </c>
      <c r="H19" s="275">
        <v>0</v>
      </c>
      <c r="I19" s="275">
        <v>0</v>
      </c>
      <c r="J19" s="276">
        <v>0</v>
      </c>
      <c r="K19" s="276">
        <v>0</v>
      </c>
      <c r="L19" s="276">
        <v>0</v>
      </c>
      <c r="M19" s="285"/>
    </row>
    <row r="20" spans="1:13" s="271" customFormat="1" ht="15.75" customHeight="1">
      <c r="A20" s="200">
        <v>5</v>
      </c>
      <c r="B20" s="68" t="s">
        <v>271</v>
      </c>
      <c r="C20" s="226">
        <f t="shared" si="2"/>
        <v>1</v>
      </c>
      <c r="D20" s="231">
        <v>0</v>
      </c>
      <c r="E20" s="231">
        <v>0</v>
      </c>
      <c r="F20" s="231">
        <v>1</v>
      </c>
      <c r="G20" s="226">
        <f t="shared" si="1"/>
        <v>1</v>
      </c>
      <c r="H20" s="231">
        <v>0</v>
      </c>
      <c r="I20" s="231">
        <v>0</v>
      </c>
      <c r="J20" s="273">
        <v>0</v>
      </c>
      <c r="K20" s="273">
        <v>0</v>
      </c>
      <c r="L20" s="287">
        <v>1</v>
      </c>
      <c r="M20" s="285"/>
    </row>
    <row r="21" spans="1:39" s="271" customFormat="1" ht="15.75" customHeight="1">
      <c r="A21" s="200">
        <v>6</v>
      </c>
      <c r="B21" s="68" t="s">
        <v>272</v>
      </c>
      <c r="C21" s="226">
        <f t="shared" si="2"/>
        <v>0</v>
      </c>
      <c r="D21" s="231">
        <v>0</v>
      </c>
      <c r="E21" s="231">
        <v>0</v>
      </c>
      <c r="F21" s="231">
        <v>0</v>
      </c>
      <c r="G21" s="226">
        <f t="shared" si="1"/>
        <v>0</v>
      </c>
      <c r="H21" s="231">
        <v>0</v>
      </c>
      <c r="I21" s="231">
        <v>0</v>
      </c>
      <c r="J21" s="273">
        <v>0</v>
      </c>
      <c r="K21" s="273">
        <v>0</v>
      </c>
      <c r="L21" s="273">
        <v>0</v>
      </c>
      <c r="M21" s="285"/>
      <c r="AJ21" s="271" t="s">
        <v>273</v>
      </c>
      <c r="AK21" s="271" t="s">
        <v>274</v>
      </c>
      <c r="AL21" s="271" t="s">
        <v>275</v>
      </c>
      <c r="AM21" s="199" t="s">
        <v>276</v>
      </c>
    </row>
    <row r="22" spans="1:39" s="271" customFormat="1" ht="15.75" customHeight="1">
      <c r="A22" s="200">
        <v>7</v>
      </c>
      <c r="B22" s="68" t="s">
        <v>277</v>
      </c>
      <c r="C22" s="226">
        <f t="shared" si="2"/>
        <v>0</v>
      </c>
      <c r="D22" s="231">
        <v>0</v>
      </c>
      <c r="E22" s="231">
        <v>0</v>
      </c>
      <c r="F22" s="231">
        <v>0</v>
      </c>
      <c r="G22" s="226">
        <f t="shared" si="1"/>
        <v>0</v>
      </c>
      <c r="H22" s="231">
        <v>0</v>
      </c>
      <c r="I22" s="231">
        <v>0</v>
      </c>
      <c r="J22" s="273">
        <v>0</v>
      </c>
      <c r="K22" s="273">
        <v>0</v>
      </c>
      <c r="L22" s="273">
        <v>0</v>
      </c>
      <c r="M22" s="285"/>
      <c r="N22" s="178"/>
      <c r="AM22" s="199" t="s">
        <v>278</v>
      </c>
    </row>
    <row r="23" spans="1:13" s="271" customFormat="1" ht="15.75" customHeight="1">
      <c r="A23" s="200">
        <v>8</v>
      </c>
      <c r="B23" s="68" t="s">
        <v>279</v>
      </c>
      <c r="C23" s="226">
        <f t="shared" si="2"/>
        <v>1</v>
      </c>
      <c r="D23" s="231">
        <v>0</v>
      </c>
      <c r="E23" s="231">
        <v>0</v>
      </c>
      <c r="F23" s="231">
        <v>1</v>
      </c>
      <c r="G23" s="226">
        <f t="shared" si="1"/>
        <v>1</v>
      </c>
      <c r="H23" s="231">
        <v>0</v>
      </c>
      <c r="I23" s="231">
        <v>0</v>
      </c>
      <c r="J23" s="273">
        <v>0</v>
      </c>
      <c r="K23" s="273">
        <v>0</v>
      </c>
      <c r="L23" s="276">
        <v>1</v>
      </c>
      <c r="M23" s="285"/>
    </row>
    <row r="24" spans="1:36" s="271" customFormat="1" ht="15.75" customHeight="1">
      <c r="A24" s="200">
        <v>9</v>
      </c>
      <c r="B24" s="68" t="s">
        <v>280</v>
      </c>
      <c r="C24" s="226">
        <f t="shared" si="2"/>
        <v>0</v>
      </c>
      <c r="D24" s="231">
        <v>0</v>
      </c>
      <c r="E24" s="231">
        <v>0</v>
      </c>
      <c r="F24" s="231">
        <v>0</v>
      </c>
      <c r="G24" s="226">
        <f t="shared" si="1"/>
        <v>0</v>
      </c>
      <c r="H24" s="231">
        <v>0</v>
      </c>
      <c r="I24" s="231">
        <v>0</v>
      </c>
      <c r="J24" s="273">
        <v>0</v>
      </c>
      <c r="K24" s="273">
        <v>0</v>
      </c>
      <c r="L24" s="273">
        <v>0</v>
      </c>
      <c r="M24" s="285"/>
      <c r="AJ24" s="271" t="s">
        <v>273</v>
      </c>
    </row>
    <row r="25" spans="1:36" s="271" customFormat="1" ht="15.75" customHeight="1">
      <c r="A25" s="200">
        <v>10</v>
      </c>
      <c r="B25" s="68" t="s">
        <v>281</v>
      </c>
      <c r="C25" s="226">
        <f t="shared" si="2"/>
        <v>1</v>
      </c>
      <c r="D25" s="231">
        <v>0</v>
      </c>
      <c r="E25" s="231">
        <v>0</v>
      </c>
      <c r="F25" s="231">
        <v>1</v>
      </c>
      <c r="G25" s="226">
        <f t="shared" si="1"/>
        <v>1</v>
      </c>
      <c r="H25" s="231">
        <v>0</v>
      </c>
      <c r="I25" s="231">
        <v>0</v>
      </c>
      <c r="J25" s="273">
        <v>0</v>
      </c>
      <c r="K25" s="273">
        <v>0</v>
      </c>
      <c r="L25" s="273">
        <v>1</v>
      </c>
      <c r="M25" s="285"/>
      <c r="AJ25" s="199" t="s">
        <v>282</v>
      </c>
    </row>
    <row r="26" spans="1:44" s="271" customFormat="1" ht="15.75" customHeight="1">
      <c r="A26" s="200">
        <v>11</v>
      </c>
      <c r="B26" s="68" t="s">
        <v>283</v>
      </c>
      <c r="C26" s="226">
        <f t="shared" si="2"/>
        <v>0</v>
      </c>
      <c r="D26" s="231">
        <v>0</v>
      </c>
      <c r="E26" s="231">
        <v>0</v>
      </c>
      <c r="F26" s="231">
        <v>0</v>
      </c>
      <c r="G26" s="226">
        <f t="shared" si="1"/>
        <v>0</v>
      </c>
      <c r="H26" s="231">
        <v>0</v>
      </c>
      <c r="I26" s="231">
        <v>0</v>
      </c>
      <c r="J26" s="273">
        <v>0</v>
      </c>
      <c r="K26" s="273">
        <v>0</v>
      </c>
      <c r="L26" s="273">
        <v>0</v>
      </c>
      <c r="AR26" s="199"/>
    </row>
    <row r="27" spans="1:12" s="271" customFormat="1" ht="8.25" customHeight="1">
      <c r="A27" s="288"/>
      <c r="B27" s="289"/>
      <c r="C27" s="290"/>
      <c r="D27" s="290"/>
      <c r="E27" s="290"/>
      <c r="F27" s="290"/>
      <c r="G27" s="290"/>
      <c r="H27" s="291"/>
      <c r="I27" s="291"/>
      <c r="J27" s="292"/>
      <c r="K27" s="292"/>
      <c r="L27" s="293"/>
    </row>
    <row r="28" spans="1:35" ht="15.75" customHeight="1">
      <c r="A28" s="766" t="s">
        <v>284</v>
      </c>
      <c r="B28" s="766"/>
      <c r="C28" s="766"/>
      <c r="D28" s="766"/>
      <c r="E28" s="766"/>
      <c r="F28" s="182"/>
      <c r="G28" s="181"/>
      <c r="H28" s="294" t="s">
        <v>329</v>
      </c>
      <c r="I28" s="295"/>
      <c r="J28" s="295"/>
      <c r="K28" s="295"/>
      <c r="L28" s="295"/>
      <c r="AG28" s="233" t="s">
        <v>285</v>
      </c>
      <c r="AI28" s="190">
        <f>82/88</f>
        <v>0.9318181818181818</v>
      </c>
    </row>
    <row r="29" spans="1:12" ht="15" customHeight="1">
      <c r="A29" s="756" t="s">
        <v>4</v>
      </c>
      <c r="B29" s="756"/>
      <c r="C29" s="756"/>
      <c r="D29" s="756"/>
      <c r="E29" s="756"/>
      <c r="F29" s="182"/>
      <c r="G29" s="183"/>
      <c r="H29" s="759" t="s">
        <v>151</v>
      </c>
      <c r="I29" s="759"/>
      <c r="J29" s="759"/>
      <c r="K29" s="759"/>
      <c r="L29" s="759"/>
    </row>
    <row r="30" spans="1:14" s="170" customFormat="1" ht="18.75">
      <c r="A30" s="753"/>
      <c r="B30" s="753"/>
      <c r="C30" s="753"/>
      <c r="D30" s="753"/>
      <c r="E30" s="753"/>
      <c r="F30" s="296"/>
      <c r="G30" s="182"/>
      <c r="H30" s="754"/>
      <c r="I30" s="754"/>
      <c r="J30" s="754"/>
      <c r="K30" s="754"/>
      <c r="L30" s="754"/>
      <c r="M30" s="297"/>
      <c r="N30" s="297"/>
    </row>
    <row r="31" spans="1:12" ht="18">
      <c r="A31" s="182"/>
      <c r="B31" s="182"/>
      <c r="C31" s="182"/>
      <c r="D31" s="182"/>
      <c r="E31" s="182"/>
      <c r="F31" s="182"/>
      <c r="G31" s="182"/>
      <c r="H31" s="182"/>
      <c r="I31" s="182"/>
      <c r="J31" s="182"/>
      <c r="K31" s="182"/>
      <c r="L31" s="298"/>
    </row>
    <row r="32" spans="1:12" ht="18">
      <c r="A32" s="182"/>
      <c r="B32" s="815" t="s">
        <v>288</v>
      </c>
      <c r="C32" s="815"/>
      <c r="D32" s="815"/>
      <c r="E32" s="815"/>
      <c r="F32" s="182"/>
      <c r="G32" s="182"/>
      <c r="H32" s="182"/>
      <c r="I32" s="815" t="s">
        <v>288</v>
      </c>
      <c r="J32" s="815"/>
      <c r="K32" s="815"/>
      <c r="L32" s="298"/>
    </row>
    <row r="33" spans="1:12" ht="10.5" customHeight="1">
      <c r="A33" s="182"/>
      <c r="B33" s="182"/>
      <c r="C33" s="299" t="s">
        <v>287</v>
      </c>
      <c r="D33" s="299"/>
      <c r="E33" s="299"/>
      <c r="F33" s="299"/>
      <c r="G33" s="299"/>
      <c r="H33" s="299"/>
      <c r="I33" s="299"/>
      <c r="J33" s="300" t="s">
        <v>287</v>
      </c>
      <c r="K33" s="299"/>
      <c r="L33" s="299"/>
    </row>
    <row r="34" spans="1:12" ht="18" hidden="1">
      <c r="A34" s="182"/>
      <c r="B34" s="182"/>
      <c r="C34" s="182"/>
      <c r="D34" s="182"/>
      <c r="E34" s="182"/>
      <c r="F34" s="182"/>
      <c r="G34" s="182"/>
      <c r="H34" s="182"/>
      <c r="I34" s="182"/>
      <c r="J34" s="182"/>
      <c r="K34" s="182"/>
      <c r="L34" s="298"/>
    </row>
    <row r="35" spans="1:12" ht="18">
      <c r="A35" s="182"/>
      <c r="B35" s="182"/>
      <c r="C35" s="182"/>
      <c r="D35" s="182"/>
      <c r="E35" s="182"/>
      <c r="F35" s="182"/>
      <c r="G35" s="182"/>
      <c r="H35" s="182"/>
      <c r="I35" s="182"/>
      <c r="J35" s="182"/>
      <c r="K35" s="182"/>
      <c r="L35" s="298"/>
    </row>
    <row r="36" spans="1:12" ht="12.75" customHeight="1">
      <c r="A36" s="182"/>
      <c r="B36" s="182"/>
      <c r="C36" s="182"/>
      <c r="D36" s="182"/>
      <c r="E36" s="182"/>
      <c r="F36" s="182"/>
      <c r="G36" s="182"/>
      <c r="H36" s="182"/>
      <c r="I36" s="301"/>
      <c r="J36" s="301"/>
      <c r="K36" s="301"/>
      <c r="L36" s="301"/>
    </row>
    <row r="37" spans="1:12" ht="12.75" customHeight="1" hidden="1">
      <c r="A37" s="182"/>
      <c r="B37" s="182"/>
      <c r="C37" s="182"/>
      <c r="D37" s="182"/>
      <c r="E37" s="182"/>
      <c r="F37" s="182"/>
      <c r="G37" s="182"/>
      <c r="H37" s="301"/>
      <c r="I37" s="301"/>
      <c r="J37" s="301"/>
      <c r="K37" s="301"/>
      <c r="L37" s="301"/>
    </row>
    <row r="38" spans="1:12" ht="12.75" customHeight="1" hidden="1">
      <c r="A38" s="182"/>
      <c r="B38" s="182"/>
      <c r="C38" s="182"/>
      <c r="D38" s="182"/>
      <c r="E38" s="182"/>
      <c r="F38" s="182"/>
      <c r="G38" s="182"/>
      <c r="H38" s="301"/>
      <c r="I38" s="301"/>
      <c r="J38" s="301"/>
      <c r="K38" s="301"/>
      <c r="L38" s="301"/>
    </row>
    <row r="39" spans="1:12" ht="12.75" customHeight="1" hidden="1">
      <c r="A39" s="302" t="s">
        <v>39</v>
      </c>
      <c r="B39" s="182"/>
      <c r="C39" s="182"/>
      <c r="D39" s="182"/>
      <c r="E39" s="182"/>
      <c r="F39" s="182"/>
      <c r="G39" s="182"/>
      <c r="H39" s="301"/>
      <c r="I39" s="301"/>
      <c r="J39" s="301"/>
      <c r="K39" s="301"/>
      <c r="L39" s="301"/>
    </row>
    <row r="40" spans="1:16" ht="18" customHeight="1" hidden="1">
      <c r="A40" s="303"/>
      <c r="B40" s="852" t="s">
        <v>210</v>
      </c>
      <c r="C40" s="852"/>
      <c r="D40" s="852"/>
      <c r="E40" s="852"/>
      <c r="F40" s="852"/>
      <c r="G40" s="303"/>
      <c r="H40" s="301"/>
      <c r="I40" s="301"/>
      <c r="J40" s="301"/>
      <c r="K40" s="301"/>
      <c r="L40" s="301"/>
      <c r="M40" s="265"/>
      <c r="N40" s="265"/>
      <c r="O40" s="265"/>
      <c r="P40" s="265"/>
    </row>
    <row r="41" spans="1:12" ht="12.75" customHeight="1" hidden="1">
      <c r="A41" s="182"/>
      <c r="B41" s="279" t="s">
        <v>211</v>
      </c>
      <c r="C41" s="304"/>
      <c r="D41" s="304"/>
      <c r="E41" s="304"/>
      <c r="F41" s="304"/>
      <c r="G41" s="182"/>
      <c r="H41" s="301"/>
      <c r="I41" s="301"/>
      <c r="J41" s="301"/>
      <c r="K41" s="301"/>
      <c r="L41" s="301"/>
    </row>
    <row r="42" spans="1:12" ht="12.75" customHeight="1" hidden="1">
      <c r="A42" s="182"/>
      <c r="B42" s="236" t="s">
        <v>212</v>
      </c>
      <c r="C42" s="304"/>
      <c r="D42" s="304"/>
      <c r="E42" s="304"/>
      <c r="F42" s="304"/>
      <c r="G42" s="182"/>
      <c r="H42" s="301"/>
      <c r="I42" s="301"/>
      <c r="J42" s="301"/>
      <c r="K42" s="301"/>
      <c r="L42" s="301"/>
    </row>
    <row r="43" spans="1:12" ht="18.75">
      <c r="A43" s="650" t="s">
        <v>330</v>
      </c>
      <c r="B43" s="650"/>
      <c r="C43" s="650"/>
      <c r="D43" s="650"/>
      <c r="E43" s="650"/>
      <c r="F43" s="182"/>
      <c r="G43" s="301"/>
      <c r="H43" s="651" t="s">
        <v>242</v>
      </c>
      <c r="I43" s="651"/>
      <c r="J43" s="651"/>
      <c r="K43" s="651"/>
      <c r="L43" s="651"/>
    </row>
    <row r="44" spans="1:12" ht="12.75" customHeight="1">
      <c r="A44" s="182"/>
      <c r="B44" s="182"/>
      <c r="C44" s="182"/>
      <c r="D44" s="182"/>
      <c r="E44" s="182"/>
      <c r="F44" s="182"/>
      <c r="G44" s="182"/>
      <c r="H44" s="301"/>
      <c r="I44" s="301"/>
      <c r="J44" s="301"/>
      <c r="K44" s="301"/>
      <c r="L44" s="301"/>
    </row>
  </sheetData>
  <sheetProtection/>
  <mergeCells count="37">
    <mergeCell ref="I32:K32"/>
    <mergeCell ref="A28:E28"/>
    <mergeCell ref="C6:C9"/>
    <mergeCell ref="A43:E43"/>
    <mergeCell ref="A29:E29"/>
    <mergeCell ref="B32:E32"/>
    <mergeCell ref="H29:L29"/>
    <mergeCell ref="H43:L43"/>
    <mergeCell ref="B40:F40"/>
    <mergeCell ref="H30:L30"/>
    <mergeCell ref="A30:E30"/>
    <mergeCell ref="I5:L5"/>
    <mergeCell ref="L8:L9"/>
    <mergeCell ref="H8:H9"/>
    <mergeCell ref="D6:F6"/>
    <mergeCell ref="I8:I9"/>
    <mergeCell ref="J8:J9"/>
    <mergeCell ref="D1:H2"/>
    <mergeCell ref="K8:K9"/>
    <mergeCell ref="G7:G9"/>
    <mergeCell ref="G6:L6"/>
    <mergeCell ref="D7:F7"/>
    <mergeCell ref="D8:D9"/>
    <mergeCell ref="E8:E9"/>
    <mergeCell ref="F8:F9"/>
    <mergeCell ref="H7:L7"/>
    <mergeCell ref="D4:H4"/>
    <mergeCell ref="A1:C1"/>
    <mergeCell ref="A3:C3"/>
    <mergeCell ref="A4:C4"/>
    <mergeCell ref="A13:B13"/>
    <mergeCell ref="A2:C2"/>
    <mergeCell ref="A5:B5"/>
    <mergeCell ref="A10:B10"/>
    <mergeCell ref="A6:B9"/>
    <mergeCell ref="A12:B12"/>
    <mergeCell ref="A11:B11"/>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0" customWidth="1"/>
    <col min="2" max="2" width="21.50390625" style="170" customWidth="1"/>
    <col min="3" max="3" width="6.125" style="170" customWidth="1"/>
    <col min="4" max="4" width="7.50390625" style="170" customWidth="1"/>
    <col min="5" max="5" width="4.75390625" style="170" customWidth="1"/>
    <col min="6" max="6" width="6.375" style="170" customWidth="1"/>
    <col min="7" max="7" width="4.50390625" style="170" customWidth="1"/>
    <col min="8" max="8" width="7.25390625" style="170" customWidth="1"/>
    <col min="9" max="9" width="4.375" style="170" customWidth="1"/>
    <col min="10" max="10" width="7.50390625" style="170" customWidth="1"/>
    <col min="11" max="11" width="4.25390625" style="170" customWidth="1"/>
    <col min="12" max="12" width="6.50390625" style="170" customWidth="1"/>
    <col min="13" max="13" width="5.375" style="170" customWidth="1"/>
    <col min="14" max="14" width="7.50390625" style="170" customWidth="1"/>
    <col min="15" max="15" width="4.375" style="170" customWidth="1"/>
    <col min="16" max="16" width="7.00390625" style="170" customWidth="1"/>
    <col min="17" max="17" width="5.75390625" style="170" customWidth="1"/>
    <col min="18" max="18" width="6.75390625" style="170" customWidth="1"/>
    <col min="19" max="19" width="4.00390625" style="170" customWidth="1"/>
    <col min="20" max="20" width="6.125" style="170" customWidth="1"/>
    <col min="21" max="28" width="8.00390625" style="170" customWidth="1"/>
    <col min="29" max="29" width="8.375" style="170" customWidth="1"/>
    <col min="30" max="30" width="8.00390625" style="170" customWidth="1"/>
    <col min="31" max="31" width="11.25390625" style="170" customWidth="1"/>
    <col min="32" max="32" width="13.50390625" style="170" customWidth="1"/>
    <col min="33" max="16384" width="8.00390625" style="170" customWidth="1"/>
  </cols>
  <sheetData>
    <row r="1" spans="1:20" s="177" customFormat="1" ht="18" customHeight="1">
      <c r="A1" s="747" t="s">
        <v>213</v>
      </c>
      <c r="B1" s="747"/>
      <c r="C1" s="747"/>
      <c r="D1" s="747"/>
      <c r="E1" s="306"/>
      <c r="F1" s="742" t="s">
        <v>365</v>
      </c>
      <c r="G1" s="742"/>
      <c r="H1" s="742"/>
      <c r="I1" s="742"/>
      <c r="J1" s="742"/>
      <c r="K1" s="742"/>
      <c r="L1" s="742"/>
      <c r="M1" s="742"/>
      <c r="N1" s="742"/>
      <c r="O1" s="742"/>
      <c r="P1" s="307" t="s">
        <v>289</v>
      </c>
      <c r="Q1" s="308"/>
      <c r="R1" s="308"/>
      <c r="S1" s="308"/>
      <c r="T1" s="308"/>
    </row>
    <row r="2" spans="1:20" s="177" customFormat="1" ht="20.25" customHeight="1">
      <c r="A2" s="870" t="s">
        <v>299</v>
      </c>
      <c r="B2" s="870"/>
      <c r="C2" s="870"/>
      <c r="D2" s="870"/>
      <c r="E2" s="306"/>
      <c r="F2" s="742"/>
      <c r="G2" s="742"/>
      <c r="H2" s="742"/>
      <c r="I2" s="742"/>
      <c r="J2" s="742"/>
      <c r="K2" s="742"/>
      <c r="L2" s="742"/>
      <c r="M2" s="742"/>
      <c r="N2" s="742"/>
      <c r="O2" s="742"/>
      <c r="P2" s="308" t="s">
        <v>331</v>
      </c>
      <c r="Q2" s="308"/>
      <c r="R2" s="308"/>
      <c r="S2" s="308"/>
      <c r="T2" s="308"/>
    </row>
    <row r="3" spans="1:20" s="177" customFormat="1" ht="15" customHeight="1">
      <c r="A3" s="870" t="s">
        <v>251</v>
      </c>
      <c r="B3" s="870"/>
      <c r="C3" s="870"/>
      <c r="D3" s="870"/>
      <c r="E3" s="306"/>
      <c r="F3" s="742"/>
      <c r="G3" s="742"/>
      <c r="H3" s="742"/>
      <c r="I3" s="742"/>
      <c r="J3" s="742"/>
      <c r="K3" s="742"/>
      <c r="L3" s="742"/>
      <c r="M3" s="742"/>
      <c r="N3" s="742"/>
      <c r="O3" s="742"/>
      <c r="P3" s="307" t="s">
        <v>357</v>
      </c>
      <c r="Q3" s="307"/>
      <c r="R3" s="307"/>
      <c r="S3" s="309"/>
      <c r="T3" s="309"/>
    </row>
    <row r="4" spans="1:20" s="177" customFormat="1" ht="15.75" customHeight="1">
      <c r="A4" s="869" t="s">
        <v>332</v>
      </c>
      <c r="B4" s="869"/>
      <c r="C4" s="869"/>
      <c r="D4" s="869"/>
      <c r="E4" s="307"/>
      <c r="F4" s="742"/>
      <c r="G4" s="742"/>
      <c r="H4" s="742"/>
      <c r="I4" s="742"/>
      <c r="J4" s="742"/>
      <c r="K4" s="742"/>
      <c r="L4" s="742"/>
      <c r="M4" s="742"/>
      <c r="N4" s="742"/>
      <c r="O4" s="742"/>
      <c r="P4" s="308" t="s">
        <v>301</v>
      </c>
      <c r="Q4" s="307"/>
      <c r="R4" s="307"/>
      <c r="S4" s="309"/>
      <c r="T4" s="309"/>
    </row>
    <row r="5" spans="1:18" s="177" customFormat="1" ht="24" customHeight="1">
      <c r="A5" s="310"/>
      <c r="B5" s="310"/>
      <c r="C5" s="310"/>
      <c r="F5" s="871"/>
      <c r="G5" s="871"/>
      <c r="H5" s="871"/>
      <c r="I5" s="871"/>
      <c r="J5" s="871"/>
      <c r="K5" s="871"/>
      <c r="L5" s="871"/>
      <c r="M5" s="871"/>
      <c r="N5" s="871"/>
      <c r="O5" s="871"/>
      <c r="P5" s="311" t="s">
        <v>333</v>
      </c>
      <c r="Q5" s="312"/>
      <c r="R5" s="312"/>
    </row>
    <row r="6" spans="1:20" s="313" customFormat="1" ht="21.75" customHeight="1">
      <c r="A6" s="854" t="s">
        <v>55</v>
      </c>
      <c r="B6" s="855"/>
      <c r="C6" s="750" t="s">
        <v>31</v>
      </c>
      <c r="D6" s="734"/>
      <c r="E6" s="750" t="s">
        <v>7</v>
      </c>
      <c r="F6" s="860"/>
      <c r="G6" s="860"/>
      <c r="H6" s="860"/>
      <c r="I6" s="860"/>
      <c r="J6" s="860"/>
      <c r="K6" s="860"/>
      <c r="L6" s="860"/>
      <c r="M6" s="860"/>
      <c r="N6" s="860"/>
      <c r="O6" s="860"/>
      <c r="P6" s="860"/>
      <c r="Q6" s="860"/>
      <c r="R6" s="860"/>
      <c r="S6" s="860"/>
      <c r="T6" s="734"/>
    </row>
    <row r="7" spans="1:21" s="313" customFormat="1" ht="22.5" customHeight="1">
      <c r="A7" s="856"/>
      <c r="B7" s="857"/>
      <c r="C7" s="767" t="s">
        <v>334</v>
      </c>
      <c r="D7" s="767" t="s">
        <v>335</v>
      </c>
      <c r="E7" s="750" t="s">
        <v>214</v>
      </c>
      <c r="F7" s="872"/>
      <c r="G7" s="872"/>
      <c r="H7" s="872"/>
      <c r="I7" s="872"/>
      <c r="J7" s="872"/>
      <c r="K7" s="872"/>
      <c r="L7" s="873"/>
      <c r="M7" s="750" t="s">
        <v>336</v>
      </c>
      <c r="N7" s="860"/>
      <c r="O7" s="860"/>
      <c r="P7" s="860"/>
      <c r="Q7" s="860"/>
      <c r="R7" s="860"/>
      <c r="S7" s="860"/>
      <c r="T7" s="734"/>
      <c r="U7" s="314"/>
    </row>
    <row r="8" spans="1:20" s="313" customFormat="1" ht="42.75" customHeight="1">
      <c r="A8" s="856"/>
      <c r="B8" s="857"/>
      <c r="C8" s="768"/>
      <c r="D8" s="768"/>
      <c r="E8" s="731" t="s">
        <v>337</v>
      </c>
      <c r="F8" s="731"/>
      <c r="G8" s="750" t="s">
        <v>338</v>
      </c>
      <c r="H8" s="860"/>
      <c r="I8" s="860"/>
      <c r="J8" s="860"/>
      <c r="K8" s="860"/>
      <c r="L8" s="734"/>
      <c r="M8" s="731" t="s">
        <v>339</v>
      </c>
      <c r="N8" s="731"/>
      <c r="O8" s="750" t="s">
        <v>338</v>
      </c>
      <c r="P8" s="860"/>
      <c r="Q8" s="860"/>
      <c r="R8" s="860"/>
      <c r="S8" s="860"/>
      <c r="T8" s="734"/>
    </row>
    <row r="9" spans="1:20" s="313" customFormat="1" ht="35.25" customHeight="1">
      <c r="A9" s="856"/>
      <c r="B9" s="857"/>
      <c r="C9" s="768"/>
      <c r="D9" s="768"/>
      <c r="E9" s="767" t="s">
        <v>215</v>
      </c>
      <c r="F9" s="767" t="s">
        <v>216</v>
      </c>
      <c r="G9" s="858" t="s">
        <v>217</v>
      </c>
      <c r="H9" s="859"/>
      <c r="I9" s="858" t="s">
        <v>218</v>
      </c>
      <c r="J9" s="859"/>
      <c r="K9" s="858" t="s">
        <v>219</v>
      </c>
      <c r="L9" s="859"/>
      <c r="M9" s="767" t="s">
        <v>220</v>
      </c>
      <c r="N9" s="767" t="s">
        <v>216</v>
      </c>
      <c r="O9" s="858" t="s">
        <v>217</v>
      </c>
      <c r="P9" s="859"/>
      <c r="Q9" s="858" t="s">
        <v>221</v>
      </c>
      <c r="R9" s="859"/>
      <c r="S9" s="858" t="s">
        <v>222</v>
      </c>
      <c r="T9" s="859"/>
    </row>
    <row r="10" spans="1:20" s="313" customFormat="1" ht="25.5" customHeight="1">
      <c r="A10" s="858"/>
      <c r="B10" s="859"/>
      <c r="C10" s="769"/>
      <c r="D10" s="769"/>
      <c r="E10" s="769"/>
      <c r="F10" s="769"/>
      <c r="G10" s="215" t="s">
        <v>220</v>
      </c>
      <c r="H10" s="215" t="s">
        <v>216</v>
      </c>
      <c r="I10" s="219" t="s">
        <v>220</v>
      </c>
      <c r="J10" s="215" t="s">
        <v>216</v>
      </c>
      <c r="K10" s="219" t="s">
        <v>220</v>
      </c>
      <c r="L10" s="215" t="s">
        <v>216</v>
      </c>
      <c r="M10" s="769"/>
      <c r="N10" s="769"/>
      <c r="O10" s="215" t="s">
        <v>220</v>
      </c>
      <c r="P10" s="215" t="s">
        <v>216</v>
      </c>
      <c r="Q10" s="219" t="s">
        <v>220</v>
      </c>
      <c r="R10" s="215" t="s">
        <v>216</v>
      </c>
      <c r="S10" s="219" t="s">
        <v>220</v>
      </c>
      <c r="T10" s="215" t="s">
        <v>216</v>
      </c>
    </row>
    <row r="11" spans="1:32" s="222" customFormat="1" ht="12.75">
      <c r="A11" s="861" t="s">
        <v>6</v>
      </c>
      <c r="B11" s="862"/>
      <c r="C11" s="315">
        <v>1</v>
      </c>
      <c r="D11" s="220">
        <v>2</v>
      </c>
      <c r="E11" s="315">
        <v>3</v>
      </c>
      <c r="F11" s="220">
        <v>4</v>
      </c>
      <c r="G11" s="315">
        <v>5</v>
      </c>
      <c r="H11" s="220">
        <v>6</v>
      </c>
      <c r="I11" s="315">
        <v>7</v>
      </c>
      <c r="J11" s="220">
        <v>8</v>
      </c>
      <c r="K11" s="315">
        <v>9</v>
      </c>
      <c r="L11" s="220">
        <v>10</v>
      </c>
      <c r="M11" s="315">
        <v>11</v>
      </c>
      <c r="N11" s="220">
        <v>12</v>
      </c>
      <c r="O11" s="315">
        <v>13</v>
      </c>
      <c r="P11" s="220">
        <v>14</v>
      </c>
      <c r="Q11" s="315">
        <v>15</v>
      </c>
      <c r="R11" s="220">
        <v>16</v>
      </c>
      <c r="S11" s="315">
        <v>17</v>
      </c>
      <c r="T11" s="220">
        <v>18</v>
      </c>
      <c r="AF11" s="222" t="s">
        <v>265</v>
      </c>
    </row>
    <row r="12" spans="1:20" s="222" customFormat="1" ht="20.25" customHeight="1">
      <c r="A12" s="863" t="s">
        <v>321</v>
      </c>
      <c r="B12" s="864"/>
      <c r="C12" s="223">
        <f aca="true" t="shared" si="0" ref="C12:T12">C14-C13</f>
        <v>-1</v>
      </c>
      <c r="D12" s="223">
        <f t="shared" si="0"/>
        <v>-1</v>
      </c>
      <c r="E12" s="223">
        <f t="shared" si="0"/>
        <v>0</v>
      </c>
      <c r="F12" s="223">
        <f t="shared" si="0"/>
        <v>0</v>
      </c>
      <c r="G12" s="223">
        <f t="shared" si="0"/>
        <v>0</v>
      </c>
      <c r="H12" s="223">
        <f t="shared" si="0"/>
        <v>0</v>
      </c>
      <c r="I12" s="223">
        <f t="shared" si="0"/>
        <v>0</v>
      </c>
      <c r="J12" s="223">
        <f t="shared" si="0"/>
        <v>0</v>
      </c>
      <c r="K12" s="223">
        <f t="shared" si="0"/>
        <v>0</v>
      </c>
      <c r="L12" s="223">
        <f t="shared" si="0"/>
        <v>0</v>
      </c>
      <c r="M12" s="223">
        <f t="shared" si="0"/>
        <v>-1</v>
      </c>
      <c r="N12" s="223">
        <f t="shared" si="0"/>
        <v>-1</v>
      </c>
      <c r="O12" s="223">
        <f t="shared" si="0"/>
        <v>-1</v>
      </c>
      <c r="P12" s="223">
        <f t="shared" si="0"/>
        <v>-1</v>
      </c>
      <c r="Q12" s="223">
        <f t="shared" si="0"/>
        <v>0</v>
      </c>
      <c r="R12" s="223">
        <f t="shared" si="0"/>
        <v>0</v>
      </c>
      <c r="S12" s="223">
        <f t="shared" si="0"/>
        <v>0</v>
      </c>
      <c r="T12" s="223">
        <f t="shared" si="0"/>
        <v>0</v>
      </c>
    </row>
    <row r="13" spans="1:20" s="222" customFormat="1" ht="23.25" customHeight="1">
      <c r="A13" s="867" t="s">
        <v>297</v>
      </c>
      <c r="B13" s="868"/>
      <c r="C13" s="224">
        <v>1</v>
      </c>
      <c r="D13" s="224">
        <v>1</v>
      </c>
      <c r="E13" s="224">
        <v>0</v>
      </c>
      <c r="F13" s="224">
        <v>0</v>
      </c>
      <c r="G13" s="224">
        <v>0</v>
      </c>
      <c r="H13" s="224">
        <v>0</v>
      </c>
      <c r="I13" s="224">
        <v>0</v>
      </c>
      <c r="J13" s="224">
        <v>0</v>
      </c>
      <c r="K13" s="224">
        <v>0</v>
      </c>
      <c r="L13" s="224">
        <v>0</v>
      </c>
      <c r="M13" s="224">
        <v>1</v>
      </c>
      <c r="N13" s="224">
        <v>1</v>
      </c>
      <c r="O13" s="224">
        <v>1</v>
      </c>
      <c r="P13" s="224">
        <v>1</v>
      </c>
      <c r="Q13" s="224">
        <v>0</v>
      </c>
      <c r="R13" s="224">
        <v>0</v>
      </c>
      <c r="S13" s="224">
        <v>0</v>
      </c>
      <c r="T13" s="224">
        <v>0</v>
      </c>
    </row>
    <row r="14" spans="1:37" s="178" customFormat="1" ht="15.75" customHeight="1">
      <c r="A14" s="865" t="s">
        <v>30</v>
      </c>
      <c r="B14" s="866"/>
      <c r="C14" s="316">
        <f>C15+C16</f>
        <v>0</v>
      </c>
      <c r="D14" s="316">
        <f>D15+D16</f>
        <v>0</v>
      </c>
      <c r="E14" s="316">
        <f>E20+E31+E36+E42+E53+E59+E62+E66+E70+E74+E82+E89</f>
        <v>0</v>
      </c>
      <c r="F14" s="316">
        <f aca="true" t="shared" si="1" ref="F14:T14">F15+F16</f>
        <v>0</v>
      </c>
      <c r="G14" s="316">
        <f t="shared" si="1"/>
        <v>0</v>
      </c>
      <c r="H14" s="316">
        <f t="shared" si="1"/>
        <v>0</v>
      </c>
      <c r="I14" s="316">
        <f t="shared" si="1"/>
        <v>0</v>
      </c>
      <c r="J14" s="316">
        <f t="shared" si="1"/>
        <v>0</v>
      </c>
      <c r="K14" s="316">
        <f t="shared" si="1"/>
        <v>0</v>
      </c>
      <c r="L14" s="316">
        <f t="shared" si="1"/>
        <v>0</v>
      </c>
      <c r="M14" s="316">
        <f t="shared" si="1"/>
        <v>0</v>
      </c>
      <c r="N14" s="316">
        <f t="shared" si="1"/>
        <v>0</v>
      </c>
      <c r="O14" s="316">
        <f t="shared" si="1"/>
        <v>0</v>
      </c>
      <c r="P14" s="316">
        <f t="shared" si="1"/>
        <v>0</v>
      </c>
      <c r="Q14" s="316">
        <f t="shared" si="1"/>
        <v>0</v>
      </c>
      <c r="R14" s="316">
        <f t="shared" si="1"/>
        <v>0</v>
      </c>
      <c r="S14" s="316">
        <f t="shared" si="1"/>
        <v>0</v>
      </c>
      <c r="T14" s="317">
        <f t="shared" si="1"/>
        <v>0</v>
      </c>
      <c r="AK14" s="199"/>
    </row>
    <row r="15" spans="1:20" s="178" customFormat="1" ht="15.75" customHeight="1">
      <c r="A15" s="197" t="s">
        <v>0</v>
      </c>
      <c r="B15" s="198" t="s">
        <v>128</v>
      </c>
      <c r="C15" s="316">
        <f>E15+M15</f>
        <v>0</v>
      </c>
      <c r="D15" s="226">
        <f>F15+N15</f>
        <v>0</v>
      </c>
      <c r="E15" s="231">
        <v>0</v>
      </c>
      <c r="F15" s="231">
        <v>0</v>
      </c>
      <c r="G15" s="231">
        <v>0</v>
      </c>
      <c r="H15" s="231">
        <v>0</v>
      </c>
      <c r="I15" s="231">
        <v>0</v>
      </c>
      <c r="J15" s="231">
        <v>0</v>
      </c>
      <c r="K15" s="231">
        <v>0</v>
      </c>
      <c r="L15" s="231">
        <v>0</v>
      </c>
      <c r="M15" s="231">
        <v>0</v>
      </c>
      <c r="N15" s="231">
        <v>0</v>
      </c>
      <c r="O15" s="231">
        <v>0</v>
      </c>
      <c r="P15" s="231">
        <v>0</v>
      </c>
      <c r="Q15" s="231">
        <v>0</v>
      </c>
      <c r="R15" s="231">
        <v>0</v>
      </c>
      <c r="S15" s="231">
        <v>0</v>
      </c>
      <c r="T15" s="231">
        <v>0</v>
      </c>
    </row>
    <row r="16" spans="1:38" s="178" customFormat="1" ht="15.75" customHeight="1">
      <c r="A16" s="254" t="s">
        <v>1</v>
      </c>
      <c r="B16" s="198" t="s">
        <v>17</v>
      </c>
      <c r="C16" s="316">
        <f aca="true" t="shared" si="2" ref="C16:T16">C17+C18+C19+C20+C21+C22+C23+C24+C25+C26+C27</f>
        <v>0</v>
      </c>
      <c r="D16" s="226">
        <f t="shared" si="2"/>
        <v>0</v>
      </c>
      <c r="E16" s="316">
        <f t="shared" si="2"/>
        <v>0</v>
      </c>
      <c r="F16" s="316">
        <f t="shared" si="2"/>
        <v>0</v>
      </c>
      <c r="G16" s="316">
        <f t="shared" si="2"/>
        <v>0</v>
      </c>
      <c r="H16" s="316">
        <f t="shared" si="2"/>
        <v>0</v>
      </c>
      <c r="I16" s="316">
        <f t="shared" si="2"/>
        <v>0</v>
      </c>
      <c r="J16" s="316">
        <f t="shared" si="2"/>
        <v>0</v>
      </c>
      <c r="K16" s="316">
        <f t="shared" si="2"/>
        <v>0</v>
      </c>
      <c r="L16" s="316">
        <f t="shared" si="2"/>
        <v>0</v>
      </c>
      <c r="M16" s="316">
        <f t="shared" si="2"/>
        <v>0</v>
      </c>
      <c r="N16" s="316">
        <f t="shared" si="2"/>
        <v>0</v>
      </c>
      <c r="O16" s="316">
        <f t="shared" si="2"/>
        <v>0</v>
      </c>
      <c r="P16" s="316">
        <f t="shared" si="2"/>
        <v>0</v>
      </c>
      <c r="Q16" s="316">
        <f t="shared" si="2"/>
        <v>0</v>
      </c>
      <c r="R16" s="316">
        <f t="shared" si="2"/>
        <v>0</v>
      </c>
      <c r="S16" s="316">
        <f t="shared" si="2"/>
        <v>0</v>
      </c>
      <c r="T16" s="317">
        <f t="shared" si="2"/>
        <v>0</v>
      </c>
      <c r="AL16" s="199"/>
    </row>
    <row r="17" spans="1:32" s="178" customFormat="1" ht="15.75" customHeight="1">
      <c r="A17" s="200">
        <v>1</v>
      </c>
      <c r="B17" s="68" t="s">
        <v>266</v>
      </c>
      <c r="C17" s="316">
        <f aca="true" t="shared" si="3" ref="C17:C27">E17+M17</f>
        <v>0</v>
      </c>
      <c r="D17" s="226">
        <f aca="true" t="shared" si="4" ref="D17:D27">F17+N17</f>
        <v>0</v>
      </c>
      <c r="E17" s="231">
        <v>0</v>
      </c>
      <c r="F17" s="231">
        <v>0</v>
      </c>
      <c r="G17" s="231">
        <v>0</v>
      </c>
      <c r="H17" s="231">
        <v>0</v>
      </c>
      <c r="I17" s="231">
        <v>0</v>
      </c>
      <c r="J17" s="231">
        <v>0</v>
      </c>
      <c r="K17" s="231">
        <v>0</v>
      </c>
      <c r="L17" s="231">
        <v>0</v>
      </c>
      <c r="M17" s="231">
        <v>0</v>
      </c>
      <c r="N17" s="231">
        <v>0</v>
      </c>
      <c r="O17" s="231">
        <v>0</v>
      </c>
      <c r="P17" s="231">
        <v>0</v>
      </c>
      <c r="Q17" s="231">
        <v>0</v>
      </c>
      <c r="R17" s="231">
        <v>0</v>
      </c>
      <c r="S17" s="231">
        <v>0</v>
      </c>
      <c r="T17" s="231">
        <v>0</v>
      </c>
      <c r="AF17" s="199" t="s">
        <v>268</v>
      </c>
    </row>
    <row r="18" spans="1:20" s="178" customFormat="1" ht="15.75" customHeight="1">
      <c r="A18" s="200">
        <v>2</v>
      </c>
      <c r="B18" s="68" t="s">
        <v>298</v>
      </c>
      <c r="C18" s="316">
        <f t="shared" si="3"/>
        <v>0</v>
      </c>
      <c r="D18" s="226">
        <f t="shared" si="4"/>
        <v>0</v>
      </c>
      <c r="E18" s="231">
        <v>0</v>
      </c>
      <c r="F18" s="231">
        <v>0</v>
      </c>
      <c r="G18" s="231">
        <v>0</v>
      </c>
      <c r="H18" s="231">
        <v>0</v>
      </c>
      <c r="I18" s="231">
        <v>0</v>
      </c>
      <c r="J18" s="231">
        <v>0</v>
      </c>
      <c r="K18" s="231">
        <v>0</v>
      </c>
      <c r="L18" s="231">
        <v>0</v>
      </c>
      <c r="M18" s="231">
        <v>0</v>
      </c>
      <c r="N18" s="231">
        <v>0</v>
      </c>
      <c r="O18" s="231">
        <v>0</v>
      </c>
      <c r="P18" s="231">
        <v>0</v>
      </c>
      <c r="Q18" s="231">
        <v>0</v>
      </c>
      <c r="R18" s="231">
        <v>0</v>
      </c>
      <c r="S18" s="231">
        <v>0</v>
      </c>
      <c r="T18" s="231">
        <v>0</v>
      </c>
    </row>
    <row r="19" spans="1:20" s="178" customFormat="1" ht="15.75" customHeight="1">
      <c r="A19" s="200">
        <v>3</v>
      </c>
      <c r="B19" s="68" t="s">
        <v>269</v>
      </c>
      <c r="C19" s="316">
        <f t="shared" si="3"/>
        <v>0</v>
      </c>
      <c r="D19" s="226">
        <f t="shared" si="4"/>
        <v>0</v>
      </c>
      <c r="E19" s="231">
        <v>0</v>
      </c>
      <c r="F19" s="231">
        <v>0</v>
      </c>
      <c r="G19" s="231">
        <v>0</v>
      </c>
      <c r="H19" s="231">
        <v>0</v>
      </c>
      <c r="I19" s="231">
        <v>0</v>
      </c>
      <c r="J19" s="231">
        <v>0</v>
      </c>
      <c r="K19" s="231">
        <v>0</v>
      </c>
      <c r="L19" s="231">
        <v>0</v>
      </c>
      <c r="M19" s="231">
        <v>0</v>
      </c>
      <c r="N19" s="231">
        <v>0</v>
      </c>
      <c r="O19" s="231">
        <v>0</v>
      </c>
      <c r="P19" s="231">
        <v>0</v>
      </c>
      <c r="Q19" s="231">
        <v>0</v>
      </c>
      <c r="R19" s="231">
        <v>0</v>
      </c>
      <c r="S19" s="231">
        <v>0</v>
      </c>
      <c r="T19" s="231">
        <v>0</v>
      </c>
    </row>
    <row r="20" spans="1:20" s="178" customFormat="1" ht="15.75" customHeight="1">
      <c r="A20" s="200">
        <v>4</v>
      </c>
      <c r="B20" s="68" t="s">
        <v>270</v>
      </c>
      <c r="C20" s="316">
        <f t="shared" si="3"/>
        <v>0</v>
      </c>
      <c r="D20" s="226">
        <f t="shared" si="4"/>
        <v>0</v>
      </c>
      <c r="E20" s="231">
        <v>0</v>
      </c>
      <c r="F20" s="231">
        <v>0</v>
      </c>
      <c r="G20" s="231">
        <v>0</v>
      </c>
      <c r="H20" s="231">
        <v>0</v>
      </c>
      <c r="I20" s="231">
        <v>0</v>
      </c>
      <c r="J20" s="231">
        <v>0</v>
      </c>
      <c r="K20" s="231">
        <v>0</v>
      </c>
      <c r="L20" s="231">
        <v>0</v>
      </c>
      <c r="M20" s="231"/>
      <c r="N20" s="231"/>
      <c r="O20" s="231"/>
      <c r="P20" s="231"/>
      <c r="Q20" s="231">
        <v>0</v>
      </c>
      <c r="R20" s="231">
        <v>0</v>
      </c>
      <c r="S20" s="231">
        <v>0</v>
      </c>
      <c r="T20" s="231">
        <v>0</v>
      </c>
    </row>
    <row r="21" spans="1:39" s="178" customFormat="1" ht="15.75" customHeight="1">
      <c r="A21" s="200">
        <v>5</v>
      </c>
      <c r="B21" s="68" t="s">
        <v>271</v>
      </c>
      <c r="C21" s="316">
        <f t="shared" si="3"/>
        <v>0</v>
      </c>
      <c r="D21" s="226">
        <f t="shared" si="4"/>
        <v>0</v>
      </c>
      <c r="E21" s="231">
        <v>0</v>
      </c>
      <c r="F21" s="231">
        <v>0</v>
      </c>
      <c r="G21" s="231">
        <v>0</v>
      </c>
      <c r="H21" s="231">
        <v>0</v>
      </c>
      <c r="I21" s="231">
        <v>0</v>
      </c>
      <c r="J21" s="231">
        <v>0</v>
      </c>
      <c r="K21" s="231">
        <v>0</v>
      </c>
      <c r="L21" s="231">
        <v>0</v>
      </c>
      <c r="M21" s="231">
        <v>0</v>
      </c>
      <c r="N21" s="231">
        <v>0</v>
      </c>
      <c r="O21" s="231">
        <v>0</v>
      </c>
      <c r="P21" s="231">
        <v>0</v>
      </c>
      <c r="Q21" s="231">
        <v>0</v>
      </c>
      <c r="R21" s="231">
        <v>0</v>
      </c>
      <c r="S21" s="231">
        <v>0</v>
      </c>
      <c r="T21" s="231">
        <v>0</v>
      </c>
      <c r="AJ21" s="178" t="s">
        <v>273</v>
      </c>
      <c r="AK21" s="178" t="s">
        <v>274</v>
      </c>
      <c r="AL21" s="178" t="s">
        <v>275</v>
      </c>
      <c r="AM21" s="199" t="s">
        <v>276</v>
      </c>
    </row>
    <row r="22" spans="1:39" s="178" customFormat="1" ht="15.75" customHeight="1">
      <c r="A22" s="200">
        <v>6</v>
      </c>
      <c r="B22" s="68" t="s">
        <v>272</v>
      </c>
      <c r="C22" s="316">
        <f t="shared" si="3"/>
        <v>0</v>
      </c>
      <c r="D22" s="226">
        <f t="shared" si="4"/>
        <v>0</v>
      </c>
      <c r="E22" s="231">
        <v>0</v>
      </c>
      <c r="F22" s="231">
        <v>0</v>
      </c>
      <c r="G22" s="231">
        <v>0</v>
      </c>
      <c r="H22" s="231">
        <v>0</v>
      </c>
      <c r="I22" s="231">
        <v>0</v>
      </c>
      <c r="J22" s="231">
        <v>0</v>
      </c>
      <c r="K22" s="231">
        <v>0</v>
      </c>
      <c r="L22" s="231">
        <v>0</v>
      </c>
      <c r="M22" s="231">
        <v>0</v>
      </c>
      <c r="N22" s="231">
        <v>0</v>
      </c>
      <c r="O22" s="231">
        <v>0</v>
      </c>
      <c r="P22" s="231">
        <v>0</v>
      </c>
      <c r="Q22" s="231">
        <v>0</v>
      </c>
      <c r="R22" s="231">
        <v>0</v>
      </c>
      <c r="S22" s="231">
        <v>0</v>
      </c>
      <c r="T22" s="231">
        <v>0</v>
      </c>
      <c r="AM22" s="199" t="s">
        <v>278</v>
      </c>
    </row>
    <row r="23" spans="1:20" s="178" customFormat="1" ht="15.75" customHeight="1">
      <c r="A23" s="200">
        <v>7</v>
      </c>
      <c r="B23" s="68" t="s">
        <v>277</v>
      </c>
      <c r="C23" s="316">
        <f t="shared" si="3"/>
        <v>0</v>
      </c>
      <c r="D23" s="226">
        <f t="shared" si="4"/>
        <v>0</v>
      </c>
      <c r="E23" s="231">
        <v>0</v>
      </c>
      <c r="F23" s="231">
        <v>0</v>
      </c>
      <c r="G23" s="231">
        <v>0</v>
      </c>
      <c r="H23" s="231">
        <v>0</v>
      </c>
      <c r="I23" s="231">
        <v>0</v>
      </c>
      <c r="J23" s="231">
        <v>0</v>
      </c>
      <c r="K23" s="231">
        <v>0</v>
      </c>
      <c r="L23" s="231">
        <v>0</v>
      </c>
      <c r="M23" s="231">
        <v>0</v>
      </c>
      <c r="N23" s="231">
        <v>0</v>
      </c>
      <c r="O23" s="231">
        <v>0</v>
      </c>
      <c r="P23" s="231">
        <v>0</v>
      </c>
      <c r="Q23" s="231">
        <v>0</v>
      </c>
      <c r="R23" s="231">
        <v>0</v>
      </c>
      <c r="S23" s="231">
        <v>0</v>
      </c>
      <c r="T23" s="231">
        <v>0</v>
      </c>
    </row>
    <row r="24" spans="1:36" s="178" customFormat="1" ht="15.75" customHeight="1">
      <c r="A24" s="200">
        <v>8</v>
      </c>
      <c r="B24" s="68" t="s">
        <v>279</v>
      </c>
      <c r="C24" s="316">
        <f t="shared" si="3"/>
        <v>0</v>
      </c>
      <c r="D24" s="226">
        <f t="shared" si="4"/>
        <v>0</v>
      </c>
      <c r="E24" s="231">
        <v>0</v>
      </c>
      <c r="F24" s="231">
        <v>0</v>
      </c>
      <c r="G24" s="231">
        <v>0</v>
      </c>
      <c r="H24" s="231">
        <v>0</v>
      </c>
      <c r="I24" s="231">
        <v>0</v>
      </c>
      <c r="J24" s="231">
        <v>0</v>
      </c>
      <c r="K24" s="231">
        <v>0</v>
      </c>
      <c r="L24" s="231">
        <v>0</v>
      </c>
      <c r="M24" s="231">
        <v>0</v>
      </c>
      <c r="N24" s="231">
        <v>0</v>
      </c>
      <c r="O24" s="231">
        <v>0</v>
      </c>
      <c r="P24" s="231">
        <v>0</v>
      </c>
      <c r="Q24" s="231">
        <v>0</v>
      </c>
      <c r="R24" s="231">
        <v>0</v>
      </c>
      <c r="S24" s="231">
        <v>0</v>
      </c>
      <c r="T24" s="231">
        <v>0</v>
      </c>
      <c r="AJ24" s="178" t="s">
        <v>273</v>
      </c>
    </row>
    <row r="25" spans="1:36" s="178" customFormat="1" ht="15.75" customHeight="1">
      <c r="A25" s="200">
        <v>9</v>
      </c>
      <c r="B25" s="68" t="s">
        <v>280</v>
      </c>
      <c r="C25" s="316">
        <f t="shared" si="3"/>
        <v>0</v>
      </c>
      <c r="D25" s="226">
        <f t="shared" si="4"/>
        <v>0</v>
      </c>
      <c r="E25" s="231">
        <v>0</v>
      </c>
      <c r="F25" s="231">
        <v>0</v>
      </c>
      <c r="G25" s="231">
        <v>0</v>
      </c>
      <c r="H25" s="231">
        <v>0</v>
      </c>
      <c r="I25" s="231">
        <v>0</v>
      </c>
      <c r="J25" s="231">
        <v>0</v>
      </c>
      <c r="K25" s="231">
        <v>0</v>
      </c>
      <c r="L25" s="231">
        <v>0</v>
      </c>
      <c r="M25" s="231">
        <v>0</v>
      </c>
      <c r="N25" s="231">
        <v>0</v>
      </c>
      <c r="O25" s="231">
        <v>0</v>
      </c>
      <c r="P25" s="231">
        <v>0</v>
      </c>
      <c r="Q25" s="231">
        <v>0</v>
      </c>
      <c r="R25" s="231">
        <v>0</v>
      </c>
      <c r="S25" s="231">
        <v>0</v>
      </c>
      <c r="T25" s="231">
        <v>0</v>
      </c>
      <c r="AJ25" s="199" t="s">
        <v>282</v>
      </c>
    </row>
    <row r="26" spans="1:44" s="178" customFormat="1" ht="15.75" customHeight="1">
      <c r="A26" s="200">
        <v>10</v>
      </c>
      <c r="B26" s="68" t="s">
        <v>281</v>
      </c>
      <c r="C26" s="316">
        <f t="shared" si="3"/>
        <v>0</v>
      </c>
      <c r="D26" s="226">
        <f t="shared" si="4"/>
        <v>0</v>
      </c>
      <c r="E26" s="231">
        <v>0</v>
      </c>
      <c r="F26" s="231">
        <v>0</v>
      </c>
      <c r="G26" s="231">
        <v>0</v>
      </c>
      <c r="H26" s="231">
        <v>0</v>
      </c>
      <c r="I26" s="231">
        <v>0</v>
      </c>
      <c r="J26" s="231">
        <v>0</v>
      </c>
      <c r="K26" s="231">
        <v>0</v>
      </c>
      <c r="L26" s="231">
        <v>0</v>
      </c>
      <c r="M26" s="231">
        <v>0</v>
      </c>
      <c r="N26" s="231">
        <v>0</v>
      </c>
      <c r="O26" s="231">
        <v>0</v>
      </c>
      <c r="P26" s="231">
        <v>0</v>
      </c>
      <c r="Q26" s="231">
        <v>0</v>
      </c>
      <c r="R26" s="231">
        <v>0</v>
      </c>
      <c r="S26" s="231">
        <v>0</v>
      </c>
      <c r="T26" s="231">
        <v>0</v>
      </c>
      <c r="AR26" s="199"/>
    </row>
    <row r="27" spans="1:20" s="178" customFormat="1" ht="15.75" customHeight="1">
      <c r="A27" s="200">
        <v>11</v>
      </c>
      <c r="B27" s="68" t="s">
        <v>283</v>
      </c>
      <c r="C27" s="316">
        <f t="shared" si="3"/>
        <v>0</v>
      </c>
      <c r="D27" s="226">
        <f t="shared" si="4"/>
        <v>0</v>
      </c>
      <c r="E27" s="231">
        <v>0</v>
      </c>
      <c r="F27" s="231">
        <v>0</v>
      </c>
      <c r="G27" s="231">
        <v>0</v>
      </c>
      <c r="H27" s="231">
        <v>0</v>
      </c>
      <c r="I27" s="231">
        <v>0</v>
      </c>
      <c r="J27" s="231">
        <v>0</v>
      </c>
      <c r="K27" s="231">
        <v>0</v>
      </c>
      <c r="L27" s="231">
        <v>0</v>
      </c>
      <c r="M27" s="231">
        <v>0</v>
      </c>
      <c r="N27" s="231">
        <v>0</v>
      </c>
      <c r="O27" s="231">
        <v>0</v>
      </c>
      <c r="P27" s="231">
        <v>0</v>
      </c>
      <c r="Q27" s="231">
        <v>0</v>
      </c>
      <c r="R27" s="231">
        <v>0</v>
      </c>
      <c r="S27" s="231">
        <v>0</v>
      </c>
      <c r="T27" s="231">
        <v>0</v>
      </c>
    </row>
    <row r="28" spans="33:35" ht="5.25" customHeight="1">
      <c r="AG28" s="170" t="s">
        <v>285</v>
      </c>
      <c r="AI28" s="190">
        <f>82/88</f>
        <v>0.9318181818181818</v>
      </c>
    </row>
    <row r="29" spans="1:20" ht="15.75" customHeight="1">
      <c r="A29" s="180"/>
      <c r="B29" s="766" t="s">
        <v>284</v>
      </c>
      <c r="C29" s="766"/>
      <c r="D29" s="766"/>
      <c r="E29" s="766"/>
      <c r="F29" s="766"/>
      <c r="G29" s="766"/>
      <c r="H29" s="181"/>
      <c r="I29" s="181"/>
      <c r="J29" s="182"/>
      <c r="K29" s="181"/>
      <c r="L29" s="771" t="s">
        <v>284</v>
      </c>
      <c r="M29" s="771"/>
      <c r="N29" s="771"/>
      <c r="O29" s="771"/>
      <c r="P29" s="771"/>
      <c r="Q29" s="771"/>
      <c r="R29" s="771"/>
      <c r="S29" s="771"/>
      <c r="T29" s="771"/>
    </row>
    <row r="30" spans="1:20" ht="15" customHeight="1">
      <c r="A30" s="180"/>
      <c r="B30" s="756" t="s">
        <v>35</v>
      </c>
      <c r="C30" s="756"/>
      <c r="D30" s="756"/>
      <c r="E30" s="756"/>
      <c r="F30" s="756"/>
      <c r="G30" s="756"/>
      <c r="H30" s="183"/>
      <c r="I30" s="183"/>
      <c r="J30" s="183"/>
      <c r="K30" s="183"/>
      <c r="L30" s="759" t="s">
        <v>240</v>
      </c>
      <c r="M30" s="759"/>
      <c r="N30" s="759"/>
      <c r="O30" s="759"/>
      <c r="P30" s="759"/>
      <c r="Q30" s="759"/>
      <c r="R30" s="759"/>
      <c r="S30" s="759"/>
      <c r="T30" s="759"/>
    </row>
    <row r="31" spans="1:20" s="320" customFormat="1" ht="18.75">
      <c r="A31" s="318"/>
      <c r="B31" s="753"/>
      <c r="C31" s="753"/>
      <c r="D31" s="753"/>
      <c r="E31" s="753"/>
      <c r="F31" s="753"/>
      <c r="G31" s="319"/>
      <c r="H31" s="319"/>
      <c r="I31" s="319"/>
      <c r="J31" s="319"/>
      <c r="K31" s="319"/>
      <c r="L31" s="754"/>
      <c r="M31" s="754"/>
      <c r="N31" s="754"/>
      <c r="O31" s="754"/>
      <c r="P31" s="754"/>
      <c r="Q31" s="754"/>
      <c r="R31" s="754"/>
      <c r="S31" s="754"/>
      <c r="T31" s="754"/>
    </row>
    <row r="32" spans="1:20" s="320" customFormat="1" ht="18.75">
      <c r="A32" s="318"/>
      <c r="B32" s="319"/>
      <c r="C32" s="319"/>
      <c r="D32" s="319"/>
      <c r="E32" s="319"/>
      <c r="F32" s="319"/>
      <c r="G32" s="319"/>
      <c r="H32" s="319"/>
      <c r="I32" s="319"/>
      <c r="J32" s="319"/>
      <c r="K32" s="319"/>
      <c r="L32" s="319"/>
      <c r="M32" s="319"/>
      <c r="N32" s="319"/>
      <c r="O32" s="319"/>
      <c r="P32" s="319"/>
      <c r="Q32" s="319"/>
      <c r="R32" s="319"/>
      <c r="S32" s="319"/>
      <c r="T32" s="319"/>
    </row>
    <row r="33" spans="1:20" s="320" customFormat="1" ht="18.75">
      <c r="A33" s="318"/>
      <c r="B33" s="853" t="s">
        <v>288</v>
      </c>
      <c r="C33" s="853"/>
      <c r="D33" s="853"/>
      <c r="E33" s="853"/>
      <c r="F33" s="853"/>
      <c r="G33" s="321"/>
      <c r="H33" s="321"/>
      <c r="I33" s="321"/>
      <c r="J33" s="321"/>
      <c r="K33" s="321"/>
      <c r="L33" s="321"/>
      <c r="M33" s="321"/>
      <c r="N33" s="321"/>
      <c r="O33" s="853" t="s">
        <v>288</v>
      </c>
      <c r="P33" s="853"/>
      <c r="Q33" s="853"/>
      <c r="R33" s="319"/>
      <c r="S33" s="319"/>
      <c r="T33" s="319"/>
    </row>
    <row r="34" spans="1:20" s="184" customFormat="1" ht="18.75" hidden="1">
      <c r="A34" s="235" t="s">
        <v>39</v>
      </c>
      <c r="B34" s="186"/>
      <c r="C34" s="186"/>
      <c r="D34" s="186"/>
      <c r="E34" s="186"/>
      <c r="F34" s="186"/>
      <c r="G34" s="186"/>
      <c r="H34" s="186"/>
      <c r="I34" s="186"/>
      <c r="J34" s="186"/>
      <c r="K34" s="186"/>
      <c r="L34" s="186"/>
      <c r="M34" s="186"/>
      <c r="N34" s="186"/>
      <c r="O34" s="186"/>
      <c r="P34" s="186"/>
      <c r="Q34" s="186"/>
      <c r="R34" s="186"/>
      <c r="S34" s="186"/>
      <c r="T34" s="186"/>
    </row>
    <row r="35" spans="1:20" s="184" customFormat="1" ht="18" customHeight="1" hidden="1">
      <c r="A35" s="188"/>
      <c r="B35" s="279" t="s">
        <v>210</v>
      </c>
      <c r="C35" s="303"/>
      <c r="D35" s="303"/>
      <c r="E35" s="303"/>
      <c r="F35" s="303"/>
      <c r="G35" s="303"/>
      <c r="H35" s="303"/>
      <c r="I35" s="303"/>
      <c r="J35" s="303"/>
      <c r="K35" s="303"/>
      <c r="L35" s="294"/>
      <c r="M35" s="294"/>
      <c r="N35" s="294"/>
      <c r="O35" s="294"/>
      <c r="P35" s="186"/>
      <c r="Q35" s="186"/>
      <c r="R35" s="186"/>
      <c r="S35" s="186"/>
      <c r="T35" s="186"/>
    </row>
    <row r="36" spans="2:20" s="184" customFormat="1" ht="18.75" hidden="1">
      <c r="B36" s="279" t="s">
        <v>211</v>
      </c>
      <c r="C36" s="186"/>
      <c r="D36" s="186"/>
      <c r="E36" s="186"/>
      <c r="F36" s="186"/>
      <c r="G36" s="186"/>
      <c r="H36" s="186"/>
      <c r="I36" s="186"/>
      <c r="J36" s="186"/>
      <c r="K36" s="186"/>
      <c r="L36" s="186"/>
      <c r="M36" s="186"/>
      <c r="N36" s="186"/>
      <c r="O36" s="186"/>
      <c r="P36" s="186"/>
      <c r="Q36" s="186"/>
      <c r="R36" s="186"/>
      <c r="S36" s="186"/>
      <c r="T36" s="186"/>
    </row>
    <row r="37" spans="2:20" s="184" customFormat="1" ht="18.75" hidden="1">
      <c r="B37" s="236" t="s">
        <v>223</v>
      </c>
      <c r="C37" s="186"/>
      <c r="D37" s="186"/>
      <c r="E37" s="186"/>
      <c r="F37" s="186"/>
      <c r="G37" s="186"/>
      <c r="H37" s="186"/>
      <c r="I37" s="186"/>
      <c r="J37" s="186"/>
      <c r="K37" s="186"/>
      <c r="L37" s="186"/>
      <c r="M37" s="186"/>
      <c r="N37" s="186"/>
      <c r="O37" s="186"/>
      <c r="P37" s="186"/>
      <c r="Q37" s="186"/>
      <c r="R37" s="186"/>
      <c r="S37" s="186"/>
      <c r="T37" s="186"/>
    </row>
    <row r="38" spans="2:20" ht="18">
      <c r="B38" s="182"/>
      <c r="C38" s="182"/>
      <c r="D38" s="182"/>
      <c r="E38" s="182"/>
      <c r="F38" s="182"/>
      <c r="G38" s="182"/>
      <c r="H38" s="182"/>
      <c r="I38" s="182"/>
      <c r="J38" s="182"/>
      <c r="K38" s="182"/>
      <c r="L38" s="182"/>
      <c r="M38" s="182"/>
      <c r="N38" s="182"/>
      <c r="O38" s="182"/>
      <c r="P38" s="182"/>
      <c r="Q38" s="182"/>
      <c r="R38" s="182"/>
      <c r="S38" s="182"/>
      <c r="T38" s="182"/>
    </row>
    <row r="39" spans="2:20" ht="18.75">
      <c r="B39" s="650" t="s">
        <v>241</v>
      </c>
      <c r="C39" s="650"/>
      <c r="D39" s="650"/>
      <c r="E39" s="650"/>
      <c r="F39" s="650"/>
      <c r="G39" s="650"/>
      <c r="H39" s="182"/>
      <c r="I39" s="182"/>
      <c r="J39" s="182"/>
      <c r="K39" s="182"/>
      <c r="L39" s="651" t="s">
        <v>242</v>
      </c>
      <c r="M39" s="651"/>
      <c r="N39" s="651"/>
      <c r="O39" s="651"/>
      <c r="P39" s="651"/>
      <c r="Q39" s="651"/>
      <c r="R39" s="651"/>
      <c r="S39" s="651"/>
      <c r="T39" s="651"/>
    </row>
    <row r="40" spans="2:20" ht="18.75">
      <c r="B40" s="182"/>
      <c r="C40" s="182"/>
      <c r="D40" s="182"/>
      <c r="E40" s="182"/>
      <c r="F40" s="182"/>
      <c r="G40" s="182"/>
      <c r="H40" s="301"/>
      <c r="I40" s="182"/>
      <c r="J40" s="182"/>
      <c r="K40" s="182"/>
      <c r="L40" s="182"/>
      <c r="M40" s="182"/>
      <c r="N40" s="182"/>
      <c r="O40" s="182"/>
      <c r="P40" s="182"/>
      <c r="Q40" s="182"/>
      <c r="R40" s="182"/>
      <c r="S40" s="182"/>
      <c r="T40" s="182"/>
    </row>
    <row r="41" spans="2:20" ht="18">
      <c r="B41" s="182"/>
      <c r="C41" s="182"/>
      <c r="D41" s="182"/>
      <c r="E41" s="182"/>
      <c r="F41" s="182"/>
      <c r="G41" s="182"/>
      <c r="H41" s="182"/>
      <c r="I41" s="182"/>
      <c r="J41" s="182"/>
      <c r="K41" s="182"/>
      <c r="L41" s="182"/>
      <c r="M41" s="182"/>
      <c r="N41" s="182"/>
      <c r="O41" s="182"/>
      <c r="P41" s="182"/>
      <c r="Q41" s="182"/>
      <c r="R41" s="182"/>
      <c r="S41" s="182"/>
      <c r="T41" s="182"/>
    </row>
  </sheetData>
  <sheetProtection/>
  <mergeCells count="41">
    <mergeCell ref="L30:T30"/>
    <mergeCell ref="F5:O5"/>
    <mergeCell ref="E8:F8"/>
    <mergeCell ref="M8:N8"/>
    <mergeCell ref="E7:L7"/>
    <mergeCell ref="E6:T6"/>
    <mergeCell ref="M7:T7"/>
    <mergeCell ref="S9:T9"/>
    <mergeCell ref="A4:D4"/>
    <mergeCell ref="A3:D3"/>
    <mergeCell ref="G9:H9"/>
    <mergeCell ref="O8:T8"/>
    <mergeCell ref="F1:O4"/>
    <mergeCell ref="A1:D1"/>
    <mergeCell ref="O9:P9"/>
    <mergeCell ref="M9:M10"/>
    <mergeCell ref="A2:D2"/>
    <mergeCell ref="C6:D6"/>
    <mergeCell ref="B31:F31"/>
    <mergeCell ref="A11:B11"/>
    <mergeCell ref="A12:B12"/>
    <mergeCell ref="B29:G29"/>
    <mergeCell ref="A14:B14"/>
    <mergeCell ref="A13:B13"/>
    <mergeCell ref="C7:C10"/>
    <mergeCell ref="N9:N10"/>
    <mergeCell ref="Q9:R9"/>
    <mergeCell ref="D7:D10"/>
    <mergeCell ref="I9:J9"/>
    <mergeCell ref="K9:L9"/>
    <mergeCell ref="G8:L8"/>
    <mergeCell ref="B33:F33"/>
    <mergeCell ref="F9:F10"/>
    <mergeCell ref="E9:E10"/>
    <mergeCell ref="L39:T39"/>
    <mergeCell ref="L29:T29"/>
    <mergeCell ref="B39:G39"/>
    <mergeCell ref="B30:G30"/>
    <mergeCell ref="O33:Q33"/>
    <mergeCell ref="A6:B10"/>
    <mergeCell ref="L31:T31"/>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User</cp:lastModifiedBy>
  <cp:lastPrinted>2018-02-08T03:45:10Z</cp:lastPrinted>
  <dcterms:created xsi:type="dcterms:W3CDTF">2004-03-07T02:36:29Z</dcterms:created>
  <dcterms:modified xsi:type="dcterms:W3CDTF">2018-02-08T03:46:17Z</dcterms:modified>
  <cp:category/>
  <cp:version/>
  <cp:contentType/>
  <cp:contentStatus/>
</cp:coreProperties>
</file>